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9720" windowHeight="7320" activeTab="1"/>
  </bookViews>
  <sheets>
    <sheet name="AMC Form 4053 Auto" sheetId="1" r:id="rId1"/>
    <sheet name="AMC Form 160 Auto" sheetId="2" r:id="rId2"/>
    <sheet name="ACN Rigid &amp; Flexible Pavement" sheetId="3" r:id="rId3"/>
  </sheets>
  <definedNames>
    <definedName name="_xlnm.Print_Area" localSheetId="0">'AMC Form 4053 Auto'!$A$1:$G$30</definedName>
  </definedNames>
  <calcPr fullCalcOnLoad="1"/>
</workbook>
</file>

<file path=xl/comments1.xml><?xml version="1.0" encoding="utf-8"?>
<comments xmlns="http://schemas.openxmlformats.org/spreadsheetml/2006/main">
  <authors>
    <author>Cristos Vasilas</author>
  </authors>
  <commentList>
    <comment ref="B1" authorId="0">
      <text>
        <r>
          <rPr>
            <b/>
            <sz val="8"/>
            <rFont val="Tahoma"/>
            <family val="0"/>
          </rPr>
          <t>Written by: Major Cristos Vasilas, Travis AFB, CA</t>
        </r>
        <r>
          <rPr>
            <sz val="8"/>
            <rFont val="Tahoma"/>
            <family val="0"/>
          </rPr>
          <t xml:space="preserve">
</t>
        </r>
      </text>
    </comment>
  </commentList>
</comments>
</file>

<file path=xl/comments2.xml><?xml version="1.0" encoding="utf-8"?>
<comments xmlns="http://schemas.openxmlformats.org/spreadsheetml/2006/main">
  <authors>
    <author>A satisfied Microsoft Office user</author>
    <author>Cristos Vasilas</author>
  </authors>
  <commentList>
    <comment ref="J3" authorId="0">
      <text>
        <r>
          <rPr>
            <sz val="8"/>
            <rFont val="Tahoma"/>
            <family val="0"/>
          </rPr>
          <t>Exit GW - Same as Block 20 GW</t>
        </r>
      </text>
    </comment>
    <comment ref="L3" authorId="0">
      <text>
        <r>
          <rPr>
            <sz val="8"/>
            <rFont val="Tahoma"/>
            <family val="0"/>
          </rPr>
          <t>Climb Fuel</t>
        </r>
      </text>
    </comment>
    <comment ref="M3" authorId="0">
      <text>
        <r>
          <rPr>
            <sz val="8"/>
            <rFont val="Tahoma"/>
            <family val="0"/>
          </rPr>
          <t>L/O Fuel - Block 20 Fuel on Board minus 3000 lbs</t>
        </r>
      </text>
    </comment>
    <comment ref="N3" authorId="0">
      <text>
        <r>
          <rPr>
            <sz val="8"/>
            <rFont val="Tahoma"/>
            <family val="0"/>
          </rPr>
          <t>L/O TD - From CFP - Enter TD for L/O alt after AR or obtain from WX fcst - Use mose conservative #</t>
        </r>
      </text>
    </comment>
    <comment ref="R3" authorId="0">
      <text>
        <r>
          <rPr>
            <sz val="8"/>
            <rFont val="Tahoma"/>
            <family val="0"/>
          </rPr>
          <t>Exit GW - Same as Block 41 GW</t>
        </r>
      </text>
    </comment>
    <comment ref="T3" authorId="0">
      <text>
        <r>
          <rPr>
            <sz val="8"/>
            <rFont val="Tahoma"/>
            <family val="0"/>
          </rPr>
          <t>Climb Fuel</t>
        </r>
      </text>
    </comment>
    <comment ref="U3" authorId="0">
      <text>
        <r>
          <rPr>
            <sz val="8"/>
            <rFont val="Tahoma"/>
            <family val="0"/>
          </rPr>
          <t>L/O Fuel - Block 41 Fuel on Board minus 3000 lbs</t>
        </r>
      </text>
    </comment>
    <comment ref="V3" authorId="0">
      <text>
        <r>
          <rPr>
            <sz val="8"/>
            <rFont val="Tahoma"/>
            <family val="0"/>
          </rPr>
          <t>L/O TD - From CFP - Enter TD for L/O alt after AR or obtain from WX fcst - Use mose conservative #</t>
        </r>
      </text>
    </comment>
    <comment ref="J5" authorId="0">
      <text>
        <r>
          <rPr>
            <sz val="8"/>
            <rFont val="Tahoma"/>
            <family val="0"/>
          </rPr>
          <t>Highest Acc FL - Extract from Inflight performance ceiling chart.  Enter chart with Block 21 Exit GW and Block 21 L/O TD</t>
        </r>
      </text>
    </comment>
    <comment ref="K5" authorId="0">
      <text>
        <r>
          <rPr>
            <sz val="8"/>
            <rFont val="Tahoma"/>
            <family val="0"/>
          </rPr>
          <t>Level of Alt - from CFP or Aircraft performance</t>
        </r>
      </text>
    </comment>
    <comment ref="L5" authorId="0">
      <text>
        <r>
          <rPr>
            <sz val="8"/>
            <rFont val="Tahoma"/>
            <family val="0"/>
          </rPr>
          <t>Level off GW - Block 21 GW minus 3000</t>
        </r>
      </text>
    </comment>
    <comment ref="M5" authorId="0">
      <text>
        <r>
          <rPr>
            <sz val="8"/>
            <rFont val="Tahoma"/>
            <family val="0"/>
          </rPr>
          <t>Temp Dev - from CFP - Enter avg TD from End AR to Destination</t>
        </r>
      </text>
    </comment>
    <comment ref="N5" authorId="0">
      <text>
        <r>
          <rPr>
            <sz val="8"/>
            <rFont val="Tahoma"/>
            <family val="0"/>
          </rPr>
          <t>Endurance - Use same page as listed in Block 22- Enter with Block 21 L/O Fuel, Block 21 L/O GW, and Block 21 TD.  Add 20 min to compensate for built in T/O/Climb Fuel.</t>
        </r>
      </text>
    </comment>
    <comment ref="R5" authorId="0">
      <text>
        <r>
          <rPr>
            <sz val="8"/>
            <rFont val="Tahoma"/>
            <family val="0"/>
          </rPr>
          <t>Highest Acc FL - Extract from Inflight performance ceiling chart.  Enter chart with Block 42 Exit GW and Block 42 L/O TD</t>
        </r>
      </text>
    </comment>
    <comment ref="S5" authorId="0">
      <text>
        <r>
          <rPr>
            <sz val="8"/>
            <rFont val="Tahoma"/>
            <family val="0"/>
          </rPr>
          <t>Level of Alt - from CFP or Aircraft performance</t>
        </r>
      </text>
    </comment>
    <comment ref="T5" authorId="0">
      <text>
        <r>
          <rPr>
            <sz val="8"/>
            <rFont val="Tahoma"/>
            <family val="0"/>
          </rPr>
          <t>Level off GW - Block 42 GW minus 3000</t>
        </r>
      </text>
    </comment>
    <comment ref="U5" authorId="0">
      <text>
        <r>
          <rPr>
            <sz val="8"/>
            <rFont val="Tahoma"/>
            <family val="0"/>
          </rPr>
          <t>Temp Dev - from CFP - Enter avg TD from End AR to Destination</t>
        </r>
      </text>
    </comment>
    <comment ref="D7" authorId="0">
      <text>
        <r>
          <rPr>
            <sz val="8"/>
            <rFont val="Tahoma"/>
            <family val="0"/>
          </rPr>
          <t>Enter page number for desired profile</t>
        </r>
      </text>
    </comment>
    <comment ref="E7" authorId="0">
      <text>
        <r>
          <rPr>
            <sz val="8"/>
            <rFont val="Tahoma"/>
            <family val="0"/>
          </rPr>
          <t>From CFP</t>
        </r>
      </text>
    </comment>
    <comment ref="L7" authorId="0">
      <text>
        <r>
          <rPr>
            <sz val="8"/>
            <rFont val="Tahoma"/>
            <family val="0"/>
          </rPr>
          <t>Enter page number for desired profile</t>
        </r>
      </text>
    </comment>
    <comment ref="M7" authorId="0">
      <text>
        <r>
          <rPr>
            <sz val="8"/>
            <rFont val="Tahoma"/>
            <family val="0"/>
          </rPr>
          <t>From CFP</t>
        </r>
      </text>
    </comment>
    <comment ref="T7" authorId="0">
      <text>
        <r>
          <rPr>
            <sz val="8"/>
            <rFont val="Tahoma"/>
            <family val="0"/>
          </rPr>
          <t>Enter page number for desired profile</t>
        </r>
      </text>
    </comment>
    <comment ref="U7" authorId="0">
      <text>
        <r>
          <rPr>
            <sz val="8"/>
            <rFont val="Tahoma"/>
            <family val="0"/>
          </rPr>
          <t>From CFP</t>
        </r>
      </text>
    </comment>
    <comment ref="E8" authorId="0">
      <text>
        <r>
          <rPr>
            <sz val="8"/>
            <rFont val="Tahoma"/>
            <family val="0"/>
          </rPr>
          <t>From CFP</t>
        </r>
      </text>
    </comment>
    <comment ref="M8" authorId="0">
      <text>
        <r>
          <rPr>
            <sz val="8"/>
            <rFont val="Tahoma"/>
            <family val="0"/>
          </rPr>
          <t>From CFP</t>
        </r>
      </text>
    </comment>
    <comment ref="U8" authorId="0">
      <text>
        <r>
          <rPr>
            <sz val="8"/>
            <rFont val="Tahoma"/>
            <family val="0"/>
          </rPr>
          <t>From CFP</t>
        </r>
      </text>
    </comment>
    <comment ref="E9" authorId="0">
      <text>
        <r>
          <rPr>
            <sz val="8"/>
            <rFont val="Tahoma"/>
            <family val="0"/>
          </rPr>
          <t>From CFP</t>
        </r>
      </text>
    </comment>
    <comment ref="F9" authorId="0">
      <text>
        <r>
          <rPr>
            <sz val="8"/>
            <rFont val="Tahoma"/>
            <family val="0"/>
          </rPr>
          <t>Use profile page from Block 1 - Enter chart with Block 3 Time, Fcst TD, and T/O GW</t>
        </r>
      </text>
    </comment>
    <comment ref="G9" authorId="0">
      <text>
        <r>
          <rPr>
            <sz val="8"/>
            <rFont val="Tahoma"/>
            <family val="0"/>
          </rPr>
          <t>T/O GW - Block 3 Fuel</t>
        </r>
      </text>
    </comment>
    <comment ref="M9" authorId="0">
      <text>
        <r>
          <rPr>
            <sz val="8"/>
            <rFont val="Tahoma"/>
            <family val="0"/>
          </rPr>
          <t>From CFP</t>
        </r>
      </text>
    </comment>
    <comment ref="N9" authorId="0">
      <text>
        <r>
          <rPr>
            <sz val="8"/>
            <rFont val="Tahoma"/>
            <family val="0"/>
          </rPr>
          <t>Use profile page from Block 22 - Enter chart with Block 24 Time minus 20 min (compensates for built in climb fuel in charts), Block 21 TD, and Block 21 L/O GW</t>
        </r>
      </text>
    </comment>
    <comment ref="O9" authorId="0">
      <text>
        <r>
          <rPr>
            <sz val="8"/>
            <rFont val="Tahoma"/>
            <family val="0"/>
          </rPr>
          <t>L/O GW - Block 24 Fuel</t>
        </r>
      </text>
    </comment>
    <comment ref="U9" authorId="0">
      <text>
        <r>
          <rPr>
            <sz val="8"/>
            <rFont val="Tahoma"/>
            <family val="0"/>
          </rPr>
          <t>From CFP</t>
        </r>
      </text>
    </comment>
    <comment ref="W9" authorId="0">
      <text>
        <r>
          <rPr>
            <sz val="8"/>
            <rFont val="Tahoma"/>
            <family val="0"/>
          </rPr>
          <t>Block 42 L/O GW minus Block 45 Fuel</t>
        </r>
      </text>
    </comment>
    <comment ref="A10" authorId="0">
      <text>
        <r>
          <rPr>
            <sz val="8"/>
            <rFont val="Tahoma"/>
            <family val="0"/>
          </rPr>
          <t>Computes the fuel required to go from the ARCP to the Bingo point to the BDP of the Recovery Base.  The RB is the alternate airfield if insufficient fuel is available to complete the mission as planned - must meet alternate WX requirements</t>
        </r>
      </text>
    </comment>
    <comment ref="E10" authorId="0">
      <text>
        <r>
          <rPr>
            <sz val="8"/>
            <rFont val="Tahoma"/>
            <family val="0"/>
          </rPr>
          <t>From CFP</t>
        </r>
      </text>
    </comment>
    <comment ref="F10" authorId="0">
      <text>
        <r>
          <rPr>
            <sz val="8"/>
            <rFont val="Tahoma"/>
            <family val="0"/>
          </rPr>
          <t>Use profile page from Block 1  / Enter chart with Block 4 time minus 20 minutes (compensate for built in T/O/Climb fuel in charts), Avg TD from ARCP to BDP to Rec Field, Block 3 GW.  Add 5000 lbs to computed # to compensate for climb fuel and time behind tanker (downwash)</t>
        </r>
      </text>
    </comment>
    <comment ref="V10" authorId="0">
      <text>
        <r>
          <rPr>
            <sz val="8"/>
            <rFont val="Tahoma"/>
            <family val="0"/>
          </rPr>
          <t>3000 lbs</t>
        </r>
      </text>
    </comment>
    <comment ref="E11" authorId="0">
      <text>
        <r>
          <rPr>
            <sz val="8"/>
            <rFont val="Tahoma"/>
            <family val="0"/>
          </rPr>
          <t>From CFP</t>
        </r>
      </text>
    </comment>
    <comment ref="F11" authorId="0">
      <text>
        <r>
          <rPr>
            <sz val="8"/>
            <rFont val="Tahoma"/>
            <family val="0"/>
          </rPr>
          <t>Extract from holding fuel chart, pg 10 / Enter chart with Block 4 GW</t>
        </r>
      </text>
    </comment>
    <comment ref="I11" authorId="0">
      <text>
        <r>
          <rPr>
            <sz val="8"/>
            <rFont val="Tahoma"/>
            <family val="0"/>
          </rPr>
          <t>Computes the fuel required to go from the ARCP to the Bingo point to the BDP of the Recovery Base.  The RB is the alternate airfield if insufficient fuel is available to complete the mission as planned - must meet alternate WX requirements</t>
        </r>
      </text>
    </comment>
    <comment ref="M11" authorId="0">
      <text>
        <r>
          <rPr>
            <sz val="8"/>
            <rFont val="Tahoma"/>
            <family val="0"/>
          </rPr>
          <t>From CFP</t>
        </r>
      </text>
    </comment>
    <comment ref="O11" authorId="0">
      <text>
        <r>
          <rPr>
            <sz val="8"/>
            <rFont val="Tahoma"/>
            <family val="0"/>
          </rPr>
          <t>Block 24 GW - Block 26 Fuel</t>
        </r>
      </text>
    </comment>
    <comment ref="Q11" authorId="0">
      <text>
        <r>
          <rPr>
            <sz val="8"/>
            <rFont val="Tahoma"/>
            <family val="0"/>
          </rPr>
          <t>Computes the fuel required to go from the ARCP to the Bingo point to the BDP of the Recovery Base.  The RB is the alternate airfield if insufficient fuel is available to complete the mission as planned - must meet alternate WX requirements</t>
        </r>
      </text>
    </comment>
    <comment ref="U11" authorId="0">
      <text>
        <r>
          <rPr>
            <sz val="8"/>
            <rFont val="Tahoma"/>
            <family val="0"/>
          </rPr>
          <t>From CFP</t>
        </r>
      </text>
    </comment>
    <comment ref="W11" authorId="0">
      <text>
        <r>
          <rPr>
            <sz val="8"/>
            <rFont val="Tahoma"/>
            <family val="0"/>
          </rPr>
          <t>Block 45 GW minus Block 47 Fuel</t>
        </r>
      </text>
    </comment>
    <comment ref="E12" authorId="0">
      <text>
        <r>
          <rPr>
            <sz val="8"/>
            <rFont val="Tahoma"/>
            <family val="0"/>
          </rPr>
          <t>From CFP</t>
        </r>
      </text>
    </comment>
    <comment ref="F12" authorId="0">
      <text>
        <r>
          <rPr>
            <sz val="8"/>
            <rFont val="Tahoma"/>
            <family val="0"/>
          </rPr>
          <t>2000 Descent, 5000 App/Ldg</t>
        </r>
      </text>
    </comment>
    <comment ref="M12" authorId="0">
      <text>
        <r>
          <rPr>
            <sz val="8"/>
            <rFont val="Tahoma"/>
            <family val="0"/>
          </rPr>
          <t>From CFP</t>
        </r>
      </text>
    </comment>
    <comment ref="U12" authorId="0">
      <text>
        <r>
          <rPr>
            <sz val="8"/>
            <rFont val="Tahoma"/>
            <family val="0"/>
          </rPr>
          <t>From CFP (+45 or 1+15, as req), Add ICAO for Rec Base</t>
        </r>
      </text>
    </comment>
    <comment ref="N13" authorId="0">
      <text>
        <r>
          <rPr>
            <sz val="8"/>
            <rFont val="Tahoma"/>
            <family val="0"/>
          </rPr>
          <t>2000 Descent, 5000 App/Ldg</t>
        </r>
      </text>
    </comment>
    <comment ref="V13" authorId="0">
      <text>
        <r>
          <rPr>
            <sz val="8"/>
            <rFont val="Tahoma"/>
            <family val="0"/>
          </rPr>
          <t>2000 Descent, 5000 App/Ldg</t>
        </r>
      </text>
    </comment>
    <comment ref="F14" authorId="0">
      <text>
        <r>
          <rPr>
            <sz val="8"/>
            <rFont val="Tahoma"/>
            <family val="0"/>
          </rPr>
          <t>Add 600 lbs/min for departure man. (SID)  &amp; 400lbs/min for enroute TStorm avoidance.  Check WX first.  5000 lbs for insufficient/unreliable navaids.</t>
        </r>
      </text>
    </comment>
    <comment ref="V14" authorId="0">
      <text>
        <r>
          <rPr>
            <sz val="8"/>
            <rFont val="Tahoma"/>
            <family val="0"/>
          </rPr>
          <t>2000 Descent, 5000 App/Ldg</t>
        </r>
      </text>
    </comment>
    <comment ref="N15" authorId="0">
      <text>
        <r>
          <rPr>
            <sz val="8"/>
            <rFont val="Tahoma"/>
            <family val="0"/>
          </rPr>
          <t>400lbs/min for enroute TStorm avoidance.  Check WX first.  5000 lbs for insufficient/unreliable navaids.</t>
        </r>
      </text>
    </comment>
    <comment ref="V15" authorId="0">
      <text>
        <r>
          <rPr>
            <sz val="8"/>
            <rFont val="Tahoma"/>
            <family val="0"/>
          </rPr>
          <t>Add 400lbs/min for enroute TStorm avoidance.  Check WX first.  5000 lbs for insufficient/unreliable navaids.</t>
        </r>
      </text>
    </comment>
    <comment ref="F16" authorId="0">
      <text>
        <r>
          <rPr>
            <sz val="8"/>
            <rFont val="Tahoma"/>
            <family val="0"/>
          </rPr>
          <t>3000 lbs (15 min of taxi).  When more than 15 min of taxi anticipated, add 120 lbs/min not to exceed 5000 lbs.</t>
        </r>
      </text>
    </comment>
    <comment ref="V16" authorId="0">
      <text>
        <r>
          <rPr>
            <sz val="8"/>
            <rFont val="Tahoma"/>
            <family val="0"/>
          </rPr>
          <t>If Block 56 fuel is less than 25000 lbs, add fuel here to make Block 56 fuel 25000 lbs</t>
        </r>
      </text>
    </comment>
    <comment ref="F18" authorId="0">
      <text>
        <r>
          <rPr>
            <sz val="8"/>
            <rFont val="Tahoma"/>
            <family val="0"/>
          </rPr>
          <t>Ramp Fuel Wt</t>
        </r>
      </text>
    </comment>
    <comment ref="F19" authorId="0">
      <text>
        <r>
          <rPr>
            <sz val="8"/>
            <rFont val="Tahoma"/>
            <family val="0"/>
          </rPr>
          <t>No min/max req.  The extra fuel may be required later to make the total fuel plan work.</t>
        </r>
      </text>
    </comment>
    <comment ref="N19" authorId="0">
      <text>
        <r>
          <rPr>
            <sz val="8"/>
            <rFont val="Tahoma"/>
            <family val="0"/>
          </rPr>
          <t>No min/max req.  The extra fuel may be required later to make the total fuel plan work.</t>
        </r>
      </text>
    </comment>
    <comment ref="E20" authorId="0">
      <text>
        <r>
          <rPr>
            <sz val="8"/>
            <rFont val="Tahoma"/>
            <family val="0"/>
          </rPr>
          <t>From CFP</t>
        </r>
      </text>
    </comment>
    <comment ref="F20" authorId="0">
      <text>
        <r>
          <rPr>
            <sz val="8"/>
            <rFont val="Tahoma"/>
            <family val="0"/>
          </rPr>
          <t>After reaching cruise, prior to the AR, FE will estimate the fuel on board at the ARCP, and compare it with this number to ensure recover capability exists.</t>
        </r>
      </text>
    </comment>
    <comment ref="N20" authorId="0">
      <text>
        <r>
          <rPr>
            <sz val="8"/>
            <rFont val="Tahoma"/>
            <family val="0"/>
          </rPr>
          <t>After reaching cruise, prior to the AR, FE will estimate the fuel on board at the ARCP, and compare it with this number to ensure recover capability exists.</t>
        </r>
      </text>
    </comment>
    <comment ref="B21" authorId="0">
      <text>
        <r>
          <rPr>
            <sz val="8"/>
            <rFont val="Tahoma"/>
            <family val="0"/>
          </rPr>
          <t>Extract from NRT formatting alt chart.   Enter with end refuel receiver weight (exit weight).  Proceed vertically to the end refuel tanker weight (KC-135 - 150k, KC-10 - 400k).  Use avg TD from the CP to the Exit point.  Adjust for speed deviation (KC-10).</t>
        </r>
      </text>
    </comment>
    <comment ref="E21" authorId="0">
      <text>
        <r>
          <rPr>
            <sz val="8"/>
            <rFont val="Tahoma"/>
            <family val="0"/>
          </rPr>
          <t>Air Refueling Altitude</t>
        </r>
      </text>
    </comment>
    <comment ref="G21" authorId="0">
      <text>
        <r>
          <rPr>
            <sz val="8"/>
            <rFont val="Tahoma"/>
            <family val="0"/>
          </rPr>
          <t>To determine average receiver gross weight during AR, add Block 3 GW (GW at CP) to the end AR GW (weight at exit point, listed in CFP), and divide by two.  Make sure any adjustments you made to weights are reflected in the end AR weight.</t>
        </r>
      </text>
    </comment>
    <comment ref="J21" authorId="0">
      <text>
        <r>
          <rPr>
            <sz val="8"/>
            <rFont val="Tahoma"/>
            <family val="0"/>
          </rPr>
          <t>Extract from NRT formatting alt chart.   Enter with end refuel receiver weight (exit weight).  Proceed vertically to the end refuel tanker weight (KC-135 - 150k, KC-10 - 400k).  Use avg TD from the CP to the Exit point.  Adjust for speed deviation (KC-10).</t>
        </r>
      </text>
    </comment>
    <comment ref="M21" authorId="0">
      <text>
        <r>
          <rPr>
            <sz val="8"/>
            <rFont val="Tahoma"/>
            <family val="0"/>
          </rPr>
          <t>Air Refueling Altitude</t>
        </r>
      </text>
    </comment>
    <comment ref="O21" authorId="0">
      <text>
        <r>
          <rPr>
            <sz val="8"/>
            <rFont val="Tahoma"/>
            <family val="0"/>
          </rPr>
          <t>To determine average receiver gross weight during AR, add Block 24 GW (GW at CP 2) to the end AR GW (weight at exit point, listed in CFP), and divide by two.  Make sure any adjustments you made to weights are reflected in the end AR weight.</t>
        </r>
      </text>
    </comment>
    <comment ref="D22" authorId="0">
      <text>
        <r>
          <rPr>
            <sz val="8"/>
            <rFont val="Tahoma"/>
            <family val="0"/>
          </rPr>
          <t>CFP - add ZTs from CP to Exit (in Minutes)</t>
        </r>
      </text>
    </comment>
    <comment ref="E22" authorId="0">
      <text>
        <r>
          <rPr>
            <sz val="8"/>
            <rFont val="Tahoma"/>
            <family val="0"/>
          </rPr>
          <t>Chart on back of Form 160.  Cells below fuel plan approximate Charts</t>
        </r>
      </text>
    </comment>
    <comment ref="L22" authorId="0">
      <text>
        <r>
          <rPr>
            <sz val="8"/>
            <rFont val="Tahoma"/>
            <family val="0"/>
          </rPr>
          <t>CFP - add ZTs from CP to Exit (in Minutes)</t>
        </r>
      </text>
    </comment>
    <comment ref="M22" authorId="0">
      <text>
        <r>
          <rPr>
            <sz val="8"/>
            <rFont val="Tahoma"/>
            <family val="0"/>
          </rPr>
          <t>Chart on back of Form 160.  Cells below fuel plan approximate Charts</t>
        </r>
      </text>
    </comment>
    <comment ref="G24" authorId="0">
      <text>
        <r>
          <rPr>
            <sz val="8"/>
            <rFont val="Tahoma"/>
            <family val="0"/>
          </rPr>
          <t>T/O GW</t>
        </r>
      </text>
    </comment>
    <comment ref="F29" authorId="0">
      <text>
        <r>
          <rPr>
            <sz val="8"/>
            <rFont val="Tahoma"/>
            <family val="0"/>
          </rPr>
          <t xml:space="preserve">Planned
</t>
        </r>
      </text>
    </comment>
    <comment ref="G29" authorId="0">
      <text>
        <r>
          <rPr>
            <sz val="8"/>
            <rFont val="Tahoma"/>
            <family val="0"/>
          </rPr>
          <t>Actual</t>
        </r>
      </text>
    </comment>
    <comment ref="N29" authorId="0">
      <text>
        <r>
          <rPr>
            <sz val="8"/>
            <rFont val="Tahoma"/>
            <family val="0"/>
          </rPr>
          <t xml:space="preserve">Planned
</t>
        </r>
      </text>
    </comment>
    <comment ref="O29" authorId="0">
      <text>
        <r>
          <rPr>
            <sz val="8"/>
            <rFont val="Tahoma"/>
            <family val="0"/>
          </rPr>
          <t>Actual</t>
        </r>
      </text>
    </comment>
    <comment ref="N12" authorId="0">
      <text>
        <r>
          <rPr>
            <sz val="8"/>
            <rFont val="Tahoma"/>
            <family val="0"/>
          </rPr>
          <t>Extract from holding fuel chart, pg 10 / Enter chart with Block 4 GW</t>
        </r>
      </text>
    </comment>
    <comment ref="V12" authorId="0">
      <text>
        <r>
          <rPr>
            <sz val="8"/>
            <rFont val="Tahoma"/>
            <family val="0"/>
          </rPr>
          <t>Extract from holding fuel chart, pg 10 / Enter chart with Block 4 GW</t>
        </r>
      </text>
    </comment>
    <comment ref="N10" authorId="0">
      <text>
        <r>
          <rPr>
            <sz val="8"/>
            <rFont val="Tahoma"/>
            <family val="0"/>
          </rPr>
          <t>Use profile page from Block 1  / Enter chart with Block 4 time minus 20 minutes (compensate for built in T/O/Climb fuel in charts), Avg TD from ARCP to BDP to Rec Field, Block 3 GW.  Add 5000 lbs to computed # to compensate for climb fuel and time behind tanker (downwash)</t>
        </r>
      </text>
    </comment>
    <comment ref="N11" authorId="0">
      <text>
        <r>
          <rPr>
            <sz val="8"/>
            <rFont val="Tahoma"/>
            <family val="0"/>
          </rPr>
          <t>Use profile page from Block 22 - Enter chart with Block 24 Time minus 20 min (compensates for built in climb fuel in charts), Block 21 TD, and Block 21 L/O GW</t>
        </r>
      </text>
    </comment>
    <comment ref="V9" authorId="0">
      <text>
        <r>
          <rPr>
            <sz val="8"/>
            <rFont val="Tahoma"/>
            <family val="0"/>
          </rPr>
          <t>Use profile page from Block 22 - Enter chart with Block 24 Time minus 20 min (compensates for built in climb fuel in charts), Block 21 TD, and Block 21 L/O GW</t>
        </r>
      </text>
    </comment>
    <comment ref="V11" authorId="0">
      <text>
        <r>
          <rPr>
            <sz val="8"/>
            <rFont val="Tahoma"/>
            <family val="0"/>
          </rPr>
          <t>Use profile page from Block 22 - Enter chart with Block 24 Time minus 20 min (compensates for built in climb fuel in charts), Block 21 TD, and Block 21 L/O GW</t>
        </r>
      </text>
    </comment>
    <comment ref="V5" authorId="0">
      <text>
        <r>
          <rPr>
            <sz val="8"/>
            <rFont val="Tahoma"/>
            <family val="0"/>
          </rPr>
          <t>Endurance - Use same page as listed in Block 22- Enter with Block 21 L/O Fuel, Block 21 L/O GW, and Block 21 TD.  Add 20 min to compensate for built in T/O/Climb Fuel.</t>
        </r>
      </text>
    </comment>
    <comment ref="B1" authorId="1">
      <text>
        <r>
          <rPr>
            <b/>
            <sz val="8"/>
            <rFont val="Tahoma"/>
            <family val="0"/>
          </rPr>
          <t>Written by Major Cristos Vasilas, Travis AFB, CA
The spreadsheet was developed by some guy at Dover.  The fuel computations were written by myself and incorporated into this spreadsheet.</t>
        </r>
        <r>
          <rPr>
            <sz val="8"/>
            <rFont val="Tahoma"/>
            <family val="0"/>
          </rPr>
          <t xml:space="preserve">
</t>
        </r>
      </text>
    </comment>
    <comment ref="M20" authorId="0">
      <text>
        <r>
          <rPr>
            <sz val="8"/>
            <rFont val="Tahoma"/>
            <family val="0"/>
          </rPr>
          <t>From CFP</t>
        </r>
      </text>
    </comment>
  </commentList>
</comments>
</file>

<file path=xl/sharedStrings.xml><?xml version="1.0" encoding="utf-8"?>
<sst xmlns="http://schemas.openxmlformats.org/spreadsheetml/2006/main" count="273" uniqueCount="194">
  <si>
    <t>Departure to AR 1</t>
  </si>
  <si>
    <t>No.</t>
  </si>
  <si>
    <t>AR 1 Exit to AR 2 (When applicable)</t>
  </si>
  <si>
    <t>AR Exit to Destination</t>
  </si>
  <si>
    <t>L.O. ALT</t>
  </si>
  <si>
    <t>T.O. FUEL</t>
  </si>
  <si>
    <t>FORCAST TD</t>
  </si>
  <si>
    <t>EXIT GWT</t>
  </si>
  <si>
    <t>CHG IN FL</t>
  </si>
  <si>
    <t>CLIMB FUEL</t>
  </si>
  <si>
    <t>L/O FUEL</t>
  </si>
  <si>
    <t>L/O TEMP DEV</t>
  </si>
  <si>
    <t>N/A</t>
  </si>
  <si>
    <t>TAKEOFF GROSS WEIGHT</t>
  </si>
  <si>
    <t>ENDURANCE</t>
  </si>
  <si>
    <t>HIGHEST ACC FL</t>
  </si>
  <si>
    <t>L/O ALT</t>
  </si>
  <si>
    <t>L/O GWT</t>
  </si>
  <si>
    <t>TEMP DEV</t>
  </si>
  <si>
    <t>Item</t>
  </si>
  <si>
    <t>Time</t>
  </si>
  <si>
    <t>Fuel</t>
  </si>
  <si>
    <t>Gross Wt</t>
  </si>
  <si>
    <t>EN ROUTE TO ARCP 1</t>
  </si>
  <si>
    <t>PAGE</t>
  </si>
  <si>
    <t>EN ROUTE TO ARCP 2</t>
  </si>
  <si>
    <t>EN ROUTE TO OH/BDP</t>
  </si>
  <si>
    <t>RESERVE</t>
  </si>
  <si>
    <t>(1+2) EN ROUTE + RESERVE</t>
  </si>
  <si>
    <t>(22+23) EN ROUTE + RESERVE</t>
  </si>
  <si>
    <t>(43+44) EN ROUTE to OH/BDP + RESERVE</t>
  </si>
  <si>
    <t>HOLDING AT __________</t>
  </si>
  <si>
    <t>AIR DIST ________ ALT &amp; MISSED APP</t>
  </si>
  <si>
    <t>DECENT/APP AND LANDING</t>
  </si>
  <si>
    <t>SUB TOTAL (3+4+5+6)</t>
  </si>
  <si>
    <t>IDENT EXTRA</t>
  </si>
  <si>
    <t>SUB TOTAL (24+25+26+27+28)</t>
  </si>
  <si>
    <t>SUB TOTAL (45+46+47+48+49)</t>
  </si>
  <si>
    <t>TOTAL TAKEOFF (7+8)</t>
  </si>
  <si>
    <t>51A</t>
  </si>
  <si>
    <t>TAXI</t>
  </si>
  <si>
    <t>REQUIRED AT EXIT (29+30)</t>
  </si>
  <si>
    <t>51B</t>
  </si>
  <si>
    <t>STORED FUEL</t>
  </si>
  <si>
    <t>REQUIRED RAMP (9+10)</t>
  </si>
  <si>
    <t>PLANNED AT EXIT (20)</t>
  </si>
  <si>
    <t>REQUIRED AT EXIT (50+51A+51B)</t>
  </si>
  <si>
    <t>ACTUAL RAMP</t>
  </si>
  <si>
    <t>ACTUAL AT EXIT</t>
  </si>
  <si>
    <t>PLANNED AT EXIT (20 OR 41)</t>
  </si>
  <si>
    <t>STORED FUEL (12-11)</t>
  </si>
  <si>
    <t>STORED FUEL (32-31)</t>
  </si>
  <si>
    <t>REQUIRED AT ARCP (4+5+6)</t>
  </si>
  <si>
    <t>REQUIRED AT ARCP 2 (26+27+28)</t>
  </si>
  <si>
    <t>UNIDENTIFIED EXTRA (53-52)</t>
  </si>
  <si>
    <t>MAX FOR ALT</t>
  </si>
  <si>
    <t>REF ALT</t>
  </si>
  <si>
    <t>AVG (3 &amp; CFP)</t>
  </si>
  <si>
    <t>AVG (24 &amp; CFP)</t>
  </si>
  <si>
    <t>REQUIRED AT DEST (47+48+49)</t>
  </si>
  <si>
    <t>MIN X PPM = FUEL</t>
  </si>
  <si>
    <t>BURNOFF TO DEST (45+46+49+51A)</t>
  </si>
  <si>
    <t>ITEM</t>
  </si>
  <si>
    <t>FUEL ON BOARD</t>
  </si>
  <si>
    <t>GROSS WEIGHT</t>
  </si>
  <si>
    <t>LANDING FUEL ( 53-57)</t>
  </si>
  <si>
    <t>AFTER TRANSFER 1</t>
  </si>
  <si>
    <t>NAME</t>
  </si>
  <si>
    <t>DATE</t>
  </si>
  <si>
    <t>OPERATING WEIGHT</t>
  </si>
  <si>
    <t>BURNOFF TO EXIT 1 (3+8+15)</t>
  </si>
  <si>
    <t>BURNOFF TO EXIT 2 (24+25+30+36)</t>
  </si>
  <si>
    <t>AIRCRAFT NUMBER</t>
  </si>
  <si>
    <t>MISSION NUMBER</t>
  </si>
  <si>
    <t>CARGO/PAX WT</t>
  </si>
  <si>
    <t>AT EXIT W/O TRANSFER                (16-17)</t>
  </si>
  <si>
    <t>AT EXIT W/O TRANSFER                       (37-38)</t>
  </si>
  <si>
    <t>CFP NO. AND PROFILE</t>
  </si>
  <si>
    <t>TIME WINDS VALID</t>
  </si>
  <si>
    <t>RAMP FUEL</t>
  </si>
  <si>
    <t>PLANNED TRANSFER</t>
  </si>
  <si>
    <t>DEPARTURE</t>
  </si>
  <si>
    <t>DESTINATION</t>
  </si>
  <si>
    <t>RAMP WEIGHT</t>
  </si>
  <si>
    <t>Planned</t>
  </si>
  <si>
    <t>Actual</t>
  </si>
  <si>
    <t>L.O.TEMP DEV</t>
  </si>
  <si>
    <t>HIGHEST ACC FLT LVL</t>
  </si>
  <si>
    <t>TAKEOFF FUEL</t>
  </si>
  <si>
    <t xml:space="preserve">TAKEOFF </t>
  </si>
  <si>
    <t>AFTER TRANSFER (18+19)</t>
  </si>
  <si>
    <t>AFTER TRANSFER (39+40)</t>
  </si>
  <si>
    <t>WEIGHT</t>
  </si>
  <si>
    <t>KC-10</t>
  </si>
  <si>
    <t>&lt;== PPM from back of Form 160</t>
  </si>
  <si>
    <t>KC-135</t>
  </si>
  <si>
    <t>1+15</t>
  </si>
  <si>
    <t>+45</t>
  </si>
  <si>
    <t xml:space="preserve">  +45</t>
  </si>
  <si>
    <t>Holding Time</t>
  </si>
  <si>
    <t>AIR DIST</t>
  </si>
  <si>
    <t>10K Const</t>
  </si>
  <si>
    <t>22K Const</t>
  </si>
  <si>
    <t>23K Const</t>
  </si>
  <si>
    <t>25K Const</t>
  </si>
  <si>
    <t>29K Const</t>
  </si>
  <si>
    <t>31K Const</t>
  </si>
  <si>
    <t>33K Const</t>
  </si>
  <si>
    <t>35K Const</t>
  </si>
  <si>
    <t>Tanker</t>
  </si>
  <si>
    <t>Operating Weight</t>
  </si>
  <si>
    <t>Aircraft Number</t>
  </si>
  <si>
    <t>Mission Number</t>
  </si>
  <si>
    <t>Date</t>
  </si>
  <si>
    <t>Cargo/Pax Weight</t>
  </si>
  <si>
    <t>Highest ACC FL</t>
  </si>
  <si>
    <t>LO Temp Dev</t>
  </si>
  <si>
    <t>CFP Number</t>
  </si>
  <si>
    <t>Ramp Fuel</t>
  </si>
  <si>
    <t>Takeoff Wgt</t>
  </si>
  <si>
    <t>Enroute Temp Dev</t>
  </si>
  <si>
    <t>Winds Valid</t>
  </si>
  <si>
    <t>Ramp Weight</t>
  </si>
  <si>
    <t>Page</t>
  </si>
  <si>
    <t>EN ROUTE TO BDP</t>
  </si>
  <si>
    <t>7A</t>
  </si>
  <si>
    <t>7B</t>
  </si>
  <si>
    <t>TOTAL TAKEOFF /FLAPS UP (3+4+5+6+7A+7B)</t>
  </si>
  <si>
    <t>TAXI AND ACCELERATION</t>
  </si>
  <si>
    <t>REQUIRED RAMP</t>
  </si>
  <si>
    <t>UNIDENTIFIED EXTRA</t>
  </si>
  <si>
    <t>REQUIRED OVER BDP (4 + 5 + 6)</t>
  </si>
  <si>
    <t>LOWEST ACC CONSTANT FL</t>
  </si>
  <si>
    <t>ENDURANCE (11-9)</t>
  </si>
  <si>
    <t>BURNOFF(3+6+7A)</t>
  </si>
  <si>
    <t>TOTAL WIND FACTOR</t>
  </si>
  <si>
    <t>1ST HALF</t>
  </si>
  <si>
    <t>2ND HALF</t>
  </si>
  <si>
    <t>LANDING FUEL</t>
  </si>
  <si>
    <t>TOTAL TIME - T = TIME TO ETP</t>
  </si>
  <si>
    <t>SIGNATURE</t>
  </si>
  <si>
    <t>Holding</t>
  </si>
  <si>
    <t>Fuel Planning</t>
  </si>
  <si>
    <t>Remarks</t>
  </si>
  <si>
    <t>ETP CALCULATIONS</t>
  </si>
  <si>
    <t>Total Distance</t>
  </si>
  <si>
    <t>Endurance</t>
  </si>
  <si>
    <t>27K Const</t>
  </si>
  <si>
    <t>Time to ETP</t>
  </si>
  <si>
    <t>Winds First Half</t>
  </si>
  <si>
    <t>Ground Speed</t>
  </si>
  <si>
    <t>Fuel Used to ETP</t>
  </si>
  <si>
    <t>GW at ETP</t>
  </si>
  <si>
    <t>Distance to ETP</t>
  </si>
  <si>
    <t>LRC Ground Speed</t>
  </si>
  <si>
    <t>Distance to Land</t>
  </si>
  <si>
    <t>Average GW 2nd Half</t>
  </si>
  <si>
    <t>Time to landing</t>
  </si>
  <si>
    <t>Temp Dev at Alt</t>
  </si>
  <si>
    <t>Emergency Fuel</t>
  </si>
  <si>
    <t>10K</t>
  </si>
  <si>
    <t>25K</t>
  </si>
  <si>
    <t>Fuel Available at ETP</t>
  </si>
  <si>
    <t>Fuel Required from ETP</t>
  </si>
  <si>
    <t>AVG TAS</t>
  </si>
  <si>
    <t>ETP</t>
  </si>
  <si>
    <t>Winds 2nd Half</t>
  </si>
  <si>
    <t>AF FORM 4053</t>
  </si>
  <si>
    <t>Lookup values</t>
  </si>
  <si>
    <t>Do not Change This Section</t>
  </si>
  <si>
    <t>ETP (T)</t>
  </si>
  <si>
    <t>Alt/Missed Approach Air Dist</t>
  </si>
  <si>
    <t>Divert Info</t>
  </si>
  <si>
    <t>GW</t>
  </si>
  <si>
    <t>Crew</t>
  </si>
  <si>
    <t>Pax</t>
  </si>
  <si>
    <t>Oxygen</t>
  </si>
  <si>
    <t>O2 Required (liters)</t>
  </si>
  <si>
    <t>Airfield Pavement Strength Requirements</t>
  </si>
  <si>
    <t>CG</t>
  </si>
  <si>
    <t>A</t>
  </si>
  <si>
    <t>B</t>
  </si>
  <si>
    <t>C</t>
  </si>
  <si>
    <t>D</t>
  </si>
  <si>
    <t>Rigid Pavement Subgrade</t>
  </si>
  <si>
    <t>Flexible Pavement Subgrade</t>
  </si>
  <si>
    <t>Vasilas</t>
  </si>
  <si>
    <t>60026</t>
  </si>
  <si>
    <t>LERT</t>
  </si>
  <si>
    <t>13 May 03</t>
  </si>
  <si>
    <t>KMCF</t>
  </si>
  <si>
    <t>XMWJ59031132</t>
  </si>
  <si>
    <t>13/09-17</t>
  </si>
  <si>
    <t>1331101.3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</si>
</sst>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h\+mm"/>
    <numFmt numFmtId="166" formatCode="mmm"/>
    <numFmt numFmtId="167" formatCode="0.00000000"/>
    <numFmt numFmtId="168" formatCode="0.0000000"/>
    <numFmt numFmtId="169" formatCode="0.000000"/>
    <numFmt numFmtId="170" formatCode="0.00000"/>
    <numFmt numFmtId="171" formatCode="0.0000"/>
    <numFmt numFmtId="172" formatCode="0.000"/>
    <numFmt numFmtId="173" formatCode="hh\+mm"/>
    <numFmt numFmtId="174" formatCode="0.000000000"/>
    <numFmt numFmtId="175" formatCode="0.0000000000"/>
    <numFmt numFmtId="176" formatCode="0.00000000000"/>
  </numFmts>
  <fonts count="24">
    <font>
      <sz val="10"/>
      <name val="Arial"/>
      <family val="0"/>
    </font>
    <font>
      <b/>
      <sz val="10"/>
      <name val="Arial"/>
      <family val="0"/>
    </font>
    <font>
      <i/>
      <sz val="10"/>
      <name val="Arial"/>
      <family val="0"/>
    </font>
    <font>
      <b/>
      <i/>
      <sz val="10"/>
      <name val="Arial"/>
      <family val="0"/>
    </font>
    <font>
      <sz val="5"/>
      <name val="Arial"/>
      <family val="2"/>
    </font>
    <font>
      <b/>
      <sz val="5"/>
      <name val="Arial"/>
      <family val="0"/>
    </font>
    <font>
      <b/>
      <sz val="5"/>
      <name val="Univers"/>
      <family val="2"/>
    </font>
    <font>
      <b/>
      <sz val="10"/>
      <name val="Univers"/>
      <family val="2"/>
    </font>
    <font>
      <sz val="10"/>
      <name val="Univers"/>
      <family val="2"/>
    </font>
    <font>
      <sz val="7"/>
      <name val="Univers"/>
      <family val="2"/>
    </font>
    <font>
      <sz val="5"/>
      <name val="Univers"/>
      <family val="2"/>
    </font>
    <font>
      <b/>
      <sz val="6"/>
      <name val="Univers"/>
      <family val="0"/>
    </font>
    <font>
      <sz val="7"/>
      <name val="Arial"/>
      <family val="2"/>
    </font>
    <font>
      <sz val="6"/>
      <name val="Univers"/>
      <family val="0"/>
    </font>
    <font>
      <sz val="8"/>
      <name val="Tahoma"/>
      <family val="0"/>
    </font>
    <font>
      <sz val="5"/>
      <name val="Universal"/>
      <family val="0"/>
    </font>
    <font>
      <sz val="10"/>
      <color indexed="56"/>
      <name val="Univers"/>
      <family val="0"/>
    </font>
    <font>
      <sz val="10"/>
      <color indexed="56"/>
      <name val="Arial"/>
      <family val="2"/>
    </font>
    <font>
      <sz val="12"/>
      <name val="Univers"/>
      <family val="0"/>
    </font>
    <font>
      <sz val="12"/>
      <name val="Arial"/>
      <family val="2"/>
    </font>
    <font>
      <b/>
      <sz val="8"/>
      <name val="Tahoma"/>
      <family val="0"/>
    </font>
    <font>
      <sz val="9"/>
      <name val="Univers"/>
      <family val="0"/>
    </font>
    <font>
      <sz val="6"/>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0">
    <border>
      <left/>
      <right/>
      <top/>
      <bottom/>
      <diagonal/>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style="medium"/>
      <bottom style="thin"/>
    </border>
    <border>
      <left style="thin"/>
      <right style="medium"/>
      <top style="thin"/>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6">
    <xf numFmtId="0" fontId="0" fillId="0" borderId="0" xfId="0" applyAlignment="1">
      <alignment/>
    </xf>
    <xf numFmtId="0" fontId="4" fillId="0" borderId="0" xfId="0" applyFont="1" applyAlignment="1">
      <alignment vertical="top"/>
    </xf>
    <xf numFmtId="0" fontId="1" fillId="0" borderId="1" xfId="0" applyFont="1" applyBorder="1" applyAlignment="1">
      <alignment horizontal="centerContinuous"/>
    </xf>
    <xf numFmtId="0" fontId="7" fillId="0" borderId="2" xfId="0" applyFont="1" applyBorder="1" applyAlignment="1">
      <alignment horizontal="centerContinuous"/>
    </xf>
    <xf numFmtId="0" fontId="6" fillId="0" borderId="3" xfId="0" applyFont="1" applyBorder="1" applyAlignment="1">
      <alignment vertical="top"/>
    </xf>
    <xf numFmtId="0" fontId="6" fillId="0" borderId="4" xfId="0" applyFont="1" applyBorder="1" applyAlignment="1">
      <alignment horizontal="centerContinuous" vertical="top"/>
    </xf>
    <xf numFmtId="0" fontId="6" fillId="0" borderId="2" xfId="0" applyFont="1" applyBorder="1" applyAlignment="1">
      <alignment horizontal="centerContinuous" vertical="top"/>
    </xf>
    <xf numFmtId="0" fontId="6" fillId="0" borderId="1" xfId="0" applyFont="1" applyBorder="1" applyAlignment="1">
      <alignment horizontal="centerContinuous" vertical="top"/>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9" fillId="0" borderId="0" xfId="0" applyFont="1" applyAlignment="1">
      <alignment vertical="top"/>
    </xf>
    <xf numFmtId="0" fontId="9" fillId="0" borderId="3" xfId="0" applyFont="1" applyBorder="1" applyAlignment="1">
      <alignment vertical="top" wrapText="1"/>
    </xf>
    <xf numFmtId="0" fontId="9" fillId="0" borderId="4" xfId="0" applyFont="1" applyBorder="1" applyAlignment="1">
      <alignment vertical="center" wrapText="1"/>
    </xf>
    <xf numFmtId="0" fontId="9" fillId="0" borderId="2" xfId="0" applyFont="1" applyBorder="1" applyAlignment="1">
      <alignment vertical="top" wrapText="1"/>
    </xf>
    <xf numFmtId="0" fontId="9" fillId="0" borderId="1" xfId="0" applyFont="1" applyBorder="1" applyAlignment="1">
      <alignment vertical="top"/>
    </xf>
    <xf numFmtId="0" fontId="9" fillId="0" borderId="4" xfId="0" applyFont="1" applyBorder="1" applyAlignment="1">
      <alignment vertical="center"/>
    </xf>
    <xf numFmtId="0" fontId="10" fillId="0" borderId="1" xfId="0" applyFont="1" applyBorder="1" applyAlignment="1">
      <alignment vertical="top"/>
    </xf>
    <xf numFmtId="0" fontId="8" fillId="2" borderId="4" xfId="0" applyFont="1" applyFill="1" applyBorder="1" applyAlignment="1">
      <alignment/>
    </xf>
    <xf numFmtId="0" fontId="0" fillId="2" borderId="1" xfId="0" applyFill="1" applyBorder="1" applyAlignment="1">
      <alignment/>
    </xf>
    <xf numFmtId="0" fontId="9" fillId="0" borderId="1" xfId="0" applyFont="1" applyBorder="1" applyAlignment="1">
      <alignment vertical="center"/>
    </xf>
    <xf numFmtId="0" fontId="9" fillId="0" borderId="2" xfId="0" applyFont="1" applyBorder="1" applyAlignment="1">
      <alignment vertical="top"/>
    </xf>
    <xf numFmtId="0" fontId="9" fillId="0" borderId="4" xfId="0" applyFont="1" applyBorder="1" applyAlignment="1">
      <alignment vertical="top"/>
    </xf>
    <xf numFmtId="0" fontId="6" fillId="0" borderId="1" xfId="0" applyFont="1" applyBorder="1" applyAlignment="1">
      <alignment horizontal="centerContinuous"/>
    </xf>
    <xf numFmtId="0" fontId="5" fillId="0" borderId="1" xfId="0" applyFont="1" applyBorder="1" applyAlignment="1">
      <alignment horizontal="centerContinuous"/>
    </xf>
    <xf numFmtId="164" fontId="8" fillId="0" borderId="3" xfId="0" applyNumberFormat="1" applyFont="1" applyBorder="1" applyAlignment="1">
      <alignment horizontal="center" vertical="center"/>
    </xf>
    <xf numFmtId="164" fontId="8" fillId="2" borderId="3" xfId="0" applyNumberFormat="1" applyFont="1" applyFill="1" applyBorder="1" applyAlignment="1">
      <alignment horizontal="center" vertical="center"/>
    </xf>
    <xf numFmtId="164" fontId="0" fillId="2" borderId="3" xfId="0" applyNumberFormat="1" applyFont="1" applyFill="1" applyBorder="1" applyAlignment="1">
      <alignment horizontal="center" vertical="center"/>
    </xf>
    <xf numFmtId="164" fontId="0" fillId="0" borderId="3" xfId="0" applyNumberFormat="1" applyFont="1" applyBorder="1" applyAlignment="1">
      <alignment horizontal="center" vertical="center"/>
    </xf>
    <xf numFmtId="165" fontId="8" fillId="0" borderId="3" xfId="0" applyNumberFormat="1" applyFont="1" applyBorder="1" applyAlignment="1">
      <alignment horizontal="center" vertical="center"/>
    </xf>
    <xf numFmtId="165" fontId="8" fillId="2" borderId="3"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xf>
    <xf numFmtId="1" fontId="8" fillId="0" borderId="7" xfId="0" applyNumberFormat="1" applyFont="1" applyBorder="1" applyAlignment="1">
      <alignment horizontal="center" vertical="center"/>
    </xf>
    <xf numFmtId="164" fontId="8" fillId="0" borderId="7" xfId="0" applyNumberFormat="1" applyFont="1" applyBorder="1" applyAlignment="1">
      <alignment horizontal="center" vertical="center"/>
    </xf>
    <xf numFmtId="0" fontId="9" fillId="0" borderId="7" xfId="0" applyFont="1" applyBorder="1" applyAlignment="1">
      <alignment horizontal="centerContinuous" vertical="center"/>
    </xf>
    <xf numFmtId="0" fontId="9" fillId="0" borderId="7" xfId="0" applyFont="1" applyBorder="1" applyAlignment="1">
      <alignment horizontal="centerContinuous" vertical="top" wrapText="1"/>
    </xf>
    <xf numFmtId="0" fontId="11" fillId="0" borderId="2" xfId="0" applyFont="1" applyBorder="1" applyAlignment="1">
      <alignment horizontal="centerContinuous" vertical="center"/>
    </xf>
    <xf numFmtId="1" fontId="8" fillId="0" borderId="1" xfId="0" applyNumberFormat="1" applyFont="1" applyBorder="1" applyAlignment="1">
      <alignment horizontal="center" vertical="center"/>
    </xf>
    <xf numFmtId="0" fontId="4" fillId="2" borderId="3" xfId="0" applyFont="1" applyFill="1" applyBorder="1" applyAlignment="1">
      <alignment vertical="top"/>
    </xf>
    <xf numFmtId="0" fontId="4" fillId="2" borderId="3" xfId="0" applyFont="1" applyFill="1" applyBorder="1" applyAlignment="1">
      <alignment/>
    </xf>
    <xf numFmtId="0" fontId="6" fillId="0" borderId="3" xfId="0" applyFont="1" applyBorder="1" applyAlignment="1">
      <alignment horizontal="center" vertical="top"/>
    </xf>
    <xf numFmtId="0" fontId="5" fillId="0" borderId="3" xfId="0" applyFont="1" applyBorder="1" applyAlignment="1">
      <alignment horizontal="center" vertical="top"/>
    </xf>
    <xf numFmtId="164" fontId="0" fillId="0" borderId="3" xfId="0" applyNumberFormat="1" applyFont="1" applyFill="1" applyBorder="1" applyAlignment="1">
      <alignment horizontal="center" vertical="center"/>
    </xf>
    <xf numFmtId="0" fontId="9" fillId="0" borderId="2" xfId="0" applyFont="1" applyBorder="1" applyAlignment="1">
      <alignment vertical="center"/>
    </xf>
    <xf numFmtId="0" fontId="9" fillId="0" borderId="0" xfId="0" applyFont="1" applyAlignment="1">
      <alignment vertical="center"/>
    </xf>
    <xf numFmtId="0" fontId="9" fillId="0" borderId="4" xfId="0" applyFont="1" applyBorder="1" applyAlignment="1">
      <alignment vertical="center"/>
    </xf>
    <xf numFmtId="0" fontId="10" fillId="0" borderId="2" xfId="0" applyFont="1" applyBorder="1" applyAlignment="1">
      <alignment vertical="center"/>
    </xf>
    <xf numFmtId="0" fontId="10" fillId="0" borderId="1" xfId="0" applyFont="1" applyBorder="1" applyAlignment="1">
      <alignment vertical="center"/>
    </xf>
    <xf numFmtId="0" fontId="9" fillId="0" borderId="2" xfId="0" applyFont="1" applyBorder="1" applyAlignment="1">
      <alignment vertical="center" wrapText="1"/>
    </xf>
    <xf numFmtId="164" fontId="8" fillId="0" borderId="3" xfId="0" applyNumberFormat="1" applyFont="1" applyBorder="1" applyAlignment="1">
      <alignment horizontal="center" vertical="center"/>
    </xf>
    <xf numFmtId="165" fontId="8" fillId="0" borderId="3" xfId="0" applyNumberFormat="1" applyFont="1" applyFill="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7" fillId="0" borderId="11" xfId="0" applyFont="1" applyBorder="1" applyAlignment="1">
      <alignment/>
    </xf>
    <xf numFmtId="0" fontId="8" fillId="2" borderId="11" xfId="0" applyFont="1" applyFill="1" applyBorder="1" applyAlignment="1">
      <alignment/>
    </xf>
    <xf numFmtId="0" fontId="6" fillId="0" borderId="12" xfId="0" applyFont="1" applyBorder="1" applyAlignment="1">
      <alignment vertical="top"/>
    </xf>
    <xf numFmtId="0" fontId="10" fillId="0" borderId="13" xfId="0" applyFont="1" applyBorder="1" applyAlignment="1">
      <alignment vertical="top"/>
    </xf>
    <xf numFmtId="0" fontId="9" fillId="0" borderId="0" xfId="0" applyFont="1" applyBorder="1" applyAlignment="1">
      <alignment vertical="top"/>
    </xf>
    <xf numFmtId="164" fontId="10" fillId="0" borderId="4" xfId="0" applyNumberFormat="1" applyFont="1" applyBorder="1" applyAlignment="1">
      <alignment vertical="top"/>
    </xf>
    <xf numFmtId="0" fontId="10" fillId="0" borderId="4" xfId="0" applyFont="1" applyBorder="1" applyAlignment="1">
      <alignment vertical="top"/>
    </xf>
    <xf numFmtId="0" fontId="10" fillId="0" borderId="4" xfId="0" applyFont="1" applyFill="1" applyBorder="1" applyAlignment="1">
      <alignment vertical="top"/>
    </xf>
    <xf numFmtId="0" fontId="0" fillId="0" borderId="0" xfId="0" applyAlignment="1">
      <alignment/>
    </xf>
    <xf numFmtId="0" fontId="10" fillId="0" borderId="4" xfId="0" applyNumberFormat="1" applyFont="1" applyBorder="1" applyAlignment="1">
      <alignment vertical="top" wrapText="1"/>
    </xf>
    <xf numFmtId="164" fontId="10" fillId="0" borderId="4" xfId="0" applyNumberFormat="1" applyFont="1" applyBorder="1" applyAlignment="1">
      <alignment vertical="top" wrapText="1"/>
    </xf>
    <xf numFmtId="164" fontId="0" fillId="0" borderId="1" xfId="0" applyNumberFormat="1" applyFill="1" applyBorder="1" applyAlignment="1">
      <alignment horizontal="center" vertical="center"/>
    </xf>
    <xf numFmtId="164" fontId="8" fillId="0" borderId="3" xfId="0" applyNumberFormat="1" applyFont="1" applyBorder="1" applyAlignment="1" applyProtection="1">
      <alignment horizontal="center" vertical="center"/>
      <protection locked="0"/>
    </xf>
    <xf numFmtId="0" fontId="11" fillId="0" borderId="4" xfId="0" applyFont="1" applyBorder="1" applyAlignment="1">
      <alignment horizontal="centerContinuous" vertical="center"/>
    </xf>
    <xf numFmtId="0" fontId="6" fillId="0" borderId="4" xfId="0" applyFont="1" applyBorder="1" applyAlignment="1">
      <alignment horizontal="centerContinuous" vertical="center"/>
    </xf>
    <xf numFmtId="0" fontId="10" fillId="0" borderId="4" xfId="0" applyFont="1" applyBorder="1" applyAlignment="1">
      <alignment vertical="center"/>
    </xf>
    <xf numFmtId="0" fontId="4" fillId="0" borderId="5" xfId="0" applyFont="1" applyBorder="1" applyAlignment="1">
      <alignment vertical="center"/>
    </xf>
    <xf numFmtId="0" fontId="9" fillId="0" borderId="4" xfId="0" applyFont="1" applyBorder="1" applyAlignment="1">
      <alignment horizontal="centerContinuous" vertical="center"/>
    </xf>
    <xf numFmtId="0" fontId="9" fillId="0" borderId="4" xfId="0" applyFont="1" applyBorder="1" applyAlignment="1">
      <alignment horizontal="centerContinuous" vertical="center" wrapText="1"/>
    </xf>
    <xf numFmtId="0" fontId="9" fillId="0" borderId="1" xfId="0" applyFont="1" applyBorder="1" applyAlignment="1">
      <alignment horizontal="centerContinuous" vertical="center"/>
    </xf>
    <xf numFmtId="0" fontId="9" fillId="0" borderId="1" xfId="0" applyFont="1" applyBorder="1" applyAlignment="1">
      <alignment horizontal="centerContinuous" vertical="center" wrapText="1"/>
    </xf>
    <xf numFmtId="0" fontId="0" fillId="0" borderId="0" xfId="0" applyAlignment="1">
      <alignment horizontal="centerContinuous" wrapText="1"/>
    </xf>
    <xf numFmtId="0" fontId="6" fillId="0" borderId="3" xfId="0" applyFont="1" applyBorder="1" applyAlignment="1">
      <alignment horizontal="center"/>
    </xf>
    <xf numFmtId="0" fontId="6" fillId="0" borderId="11" xfId="0" applyFont="1" applyBorder="1" applyAlignment="1">
      <alignment vertical="top"/>
    </xf>
    <xf numFmtId="164" fontId="8" fillId="0" borderId="3" xfId="0" applyNumberFormat="1" applyFont="1" applyBorder="1" applyAlignment="1" applyProtection="1">
      <alignment horizontal="center" vertical="center"/>
      <protection/>
    </xf>
    <xf numFmtId="165" fontId="8" fillId="0" borderId="3" xfId="0" applyNumberFormat="1" applyFont="1" applyBorder="1" applyAlignment="1" applyProtection="1">
      <alignment horizontal="center" vertical="center"/>
      <protection/>
    </xf>
    <xf numFmtId="164" fontId="0" fillId="0" borderId="3" xfId="0" applyNumberFormat="1" applyFont="1" applyBorder="1" applyAlignment="1" applyProtection="1">
      <alignment horizontal="center" vertical="center"/>
      <protection/>
    </xf>
    <xf numFmtId="164" fontId="0" fillId="0" borderId="3" xfId="0" applyNumberFormat="1" applyFont="1" applyFill="1" applyBorder="1" applyAlignment="1" applyProtection="1">
      <alignment horizontal="center" vertical="center"/>
      <protection/>
    </xf>
    <xf numFmtId="164" fontId="0" fillId="0" borderId="0" xfId="0" applyNumberFormat="1" applyAlignment="1" applyProtection="1">
      <alignment horizontal="center" vertical="center"/>
      <protection/>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lignment/>
    </xf>
    <xf numFmtId="0" fontId="9" fillId="0" borderId="17" xfId="0" applyFont="1" applyBorder="1" applyAlignment="1">
      <alignment horizontal="centerContinuous" vertical="center"/>
    </xf>
    <xf numFmtId="0" fontId="9" fillId="0" borderId="17" xfId="0" applyFont="1" applyBorder="1" applyAlignment="1">
      <alignment horizontal="centerContinuous" vertical="top"/>
    </xf>
    <xf numFmtId="0" fontId="9" fillId="0" borderId="16" xfId="0" applyFont="1" applyBorder="1" applyAlignment="1">
      <alignment horizontal="centerContinuous" vertical="top"/>
    </xf>
    <xf numFmtId="0" fontId="6" fillId="0" borderId="3" xfId="0" applyFont="1" applyBorder="1" applyAlignment="1">
      <alignment horizontal="center" vertical="center"/>
    </xf>
    <xf numFmtId="164" fontId="8" fillId="0" borderId="17" xfId="0" applyNumberFormat="1" applyFont="1" applyBorder="1" applyAlignment="1">
      <alignment horizontal="center" vertical="center"/>
    </xf>
    <xf numFmtId="164" fontId="10" fillId="0" borderId="17" xfId="0" applyNumberFormat="1" applyFont="1" applyBorder="1" applyAlignment="1">
      <alignment vertical="top" wrapText="1"/>
    </xf>
    <xf numFmtId="0" fontId="0" fillId="0" borderId="6" xfId="0" applyBorder="1" applyAlignment="1">
      <alignment/>
    </xf>
    <xf numFmtId="164" fontId="0" fillId="0" borderId="16" xfId="0" applyNumberFormat="1" applyBorder="1" applyAlignment="1">
      <alignment horizontal="center" vertical="top"/>
    </xf>
    <xf numFmtId="164" fontId="0" fillId="0" borderId="7" xfId="0" applyNumberFormat="1" applyBorder="1" applyAlignment="1">
      <alignment horizontal="center" vertical="top"/>
    </xf>
    <xf numFmtId="0" fontId="6" fillId="0" borderId="12" xfId="0" applyFont="1" applyBorder="1" applyAlignment="1">
      <alignment horizontal="center" vertical="center"/>
    </xf>
    <xf numFmtId="164" fontId="8" fillId="0" borderId="12" xfId="0" applyNumberFormat="1" applyFont="1" applyBorder="1" applyAlignment="1">
      <alignment horizontal="center" vertical="center"/>
    </xf>
    <xf numFmtId="1" fontId="8" fillId="0" borderId="12" xfId="0" applyNumberFormat="1" applyFont="1" applyBorder="1" applyAlignment="1" applyProtection="1">
      <alignment horizontal="center" vertical="center"/>
      <protection locked="0"/>
    </xf>
    <xf numFmtId="0" fontId="10" fillId="0" borderId="5" xfId="0" applyFont="1" applyBorder="1" applyAlignment="1">
      <alignment horizontal="left" vertical="center"/>
    </xf>
    <xf numFmtId="0" fontId="13" fillId="0" borderId="11" xfId="0" applyFont="1" applyBorder="1" applyAlignment="1">
      <alignment horizontal="centerContinuous" vertical="center"/>
    </xf>
    <xf numFmtId="0" fontId="10" fillId="0" borderId="5" xfId="0" applyFont="1" applyBorder="1" applyAlignment="1">
      <alignment horizontal="center"/>
    </xf>
    <xf numFmtId="164" fontId="8" fillId="0" borderId="12" xfId="0" applyNumberFormat="1" applyFont="1" applyBorder="1" applyAlignment="1" applyProtection="1">
      <alignment horizontal="center" vertical="center"/>
      <protection/>
    </xf>
    <xf numFmtId="164" fontId="0" fillId="2" borderId="12" xfId="0" applyNumberFormat="1" applyFont="1" applyFill="1" applyBorder="1" applyAlignment="1">
      <alignment horizontal="center" vertical="center"/>
    </xf>
    <xf numFmtId="49" fontId="9" fillId="0" borderId="18" xfId="0" applyNumberFormat="1" applyFont="1" applyBorder="1" applyAlignment="1" applyProtection="1">
      <alignment horizontal="centerContinuous" vertical="center"/>
      <protection locked="0"/>
    </xf>
    <xf numFmtId="49" fontId="9" fillId="0" borderId="1" xfId="0" applyNumberFormat="1" applyFont="1" applyBorder="1" applyAlignment="1" applyProtection="1">
      <alignment horizontal="centerContinuous" vertical="center"/>
      <protection locked="0"/>
    </xf>
    <xf numFmtId="0" fontId="9" fillId="0" borderId="18" xfId="0" applyFont="1" applyBorder="1" applyAlignment="1" applyProtection="1">
      <alignment vertical="center"/>
      <protection locked="0"/>
    </xf>
    <xf numFmtId="0" fontId="9" fillId="0" borderId="1" xfId="0" applyFont="1" applyBorder="1" applyAlignment="1" applyProtection="1">
      <alignment vertical="center"/>
      <protection locked="0"/>
    </xf>
    <xf numFmtId="0" fontId="0" fillId="0" borderId="17" xfId="0" applyBorder="1" applyAlignment="1" applyProtection="1">
      <alignment horizontal="centerContinuous" vertical="center"/>
      <protection locked="0"/>
    </xf>
    <xf numFmtId="49" fontId="8" fillId="0" borderId="18" xfId="0" applyNumberFormat="1" applyFont="1" applyBorder="1" applyAlignment="1" applyProtection="1">
      <alignment horizontal="right" vertical="center"/>
      <protection locked="0"/>
    </xf>
    <xf numFmtId="49" fontId="9" fillId="0" borderId="1" xfId="0" applyNumberFormat="1" applyFont="1" applyBorder="1" applyAlignment="1" applyProtection="1">
      <alignment horizontal="right" vertical="center"/>
      <protection locked="0"/>
    </xf>
    <xf numFmtId="0" fontId="6" fillId="0" borderId="19" xfId="0" applyFont="1" applyBorder="1" applyAlignment="1">
      <alignment horizontal="center" vertical="center"/>
    </xf>
    <xf numFmtId="0" fontId="9" fillId="0" borderId="20" xfId="0" applyFont="1" applyBorder="1" applyAlignment="1">
      <alignment vertical="center"/>
    </xf>
    <xf numFmtId="0" fontId="6" fillId="0" borderId="21" xfId="0" applyFont="1" applyBorder="1" applyAlignment="1">
      <alignment/>
    </xf>
    <xf numFmtId="0" fontId="6" fillId="0" borderId="22" xfId="0" applyFont="1" applyBorder="1" applyAlignment="1">
      <alignment/>
    </xf>
    <xf numFmtId="0" fontId="9" fillId="2" borderId="22" xfId="0" applyFont="1" applyFill="1" applyBorder="1" applyAlignment="1">
      <alignment horizontal="center"/>
    </xf>
    <xf numFmtId="0" fontId="12" fillId="2" borderId="19" xfId="0" applyFont="1" applyFill="1" applyBorder="1" applyAlignment="1">
      <alignment horizontal="center"/>
    </xf>
    <xf numFmtId="49" fontId="9" fillId="0" borderId="1" xfId="0" applyNumberFormat="1" applyFont="1" applyBorder="1" applyAlignment="1" applyProtection="1">
      <alignment horizontal="centerContinuous" vertical="center"/>
      <protection locked="0"/>
    </xf>
    <xf numFmtId="49" fontId="9" fillId="0" borderId="1" xfId="0" applyNumberFormat="1" applyFont="1" applyBorder="1" applyAlignment="1" applyProtection="1">
      <alignment horizontal="right" vertical="center"/>
      <protection locked="0"/>
    </xf>
    <xf numFmtId="0" fontId="8" fillId="0" borderId="11" xfId="0" applyFont="1" applyBorder="1" applyAlignment="1" applyProtection="1">
      <alignment/>
      <protection/>
    </xf>
    <xf numFmtId="0" fontId="10" fillId="0" borderId="11" xfId="0" applyFont="1" applyBorder="1" applyAlignment="1" applyProtection="1">
      <alignment horizontal="center" vertical="center"/>
      <protection/>
    </xf>
    <xf numFmtId="164" fontId="10" fillId="0" borderId="5" xfId="0" applyNumberFormat="1" applyFont="1" applyBorder="1" applyAlignment="1" applyProtection="1">
      <alignment horizontal="left" vertical="center"/>
      <protection/>
    </xf>
    <xf numFmtId="1" fontId="10" fillId="0" borderId="5" xfId="0" applyNumberFormat="1" applyFont="1" applyBorder="1" applyAlignment="1" applyProtection="1">
      <alignment horizontal="left" vertical="center"/>
      <protection/>
    </xf>
    <xf numFmtId="0" fontId="6" fillId="0" borderId="23" xfId="0" applyFont="1" applyBorder="1" applyAlignment="1" applyProtection="1">
      <alignment horizontal="center" vertical="center"/>
      <protection/>
    </xf>
    <xf numFmtId="0" fontId="9" fillId="0" borderId="24" xfId="0" applyFont="1" applyBorder="1" applyAlignment="1" applyProtection="1">
      <alignment horizontal="centerContinuous" vertical="top"/>
      <protection/>
    </xf>
    <xf numFmtId="0" fontId="9" fillId="0" borderId="25" xfId="0" applyFont="1" applyBorder="1" applyAlignment="1" applyProtection="1">
      <alignment horizontal="centerContinuous" vertical="top"/>
      <protection/>
    </xf>
    <xf numFmtId="164" fontId="8" fillId="0" borderId="0" xfId="0" applyNumberFormat="1" applyFont="1" applyBorder="1" applyAlignment="1" applyProtection="1">
      <alignment horizontal="centerContinuous" vertical="center"/>
      <protection/>
    </xf>
    <xf numFmtId="0" fontId="8" fillId="0" borderId="26" xfId="0" applyFont="1" applyBorder="1" applyAlignment="1" applyProtection="1">
      <alignment horizontal="centerContinuous"/>
      <protection/>
    </xf>
    <xf numFmtId="0" fontId="10" fillId="0" borderId="0"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0" fillId="0" borderId="0" xfId="0" applyAlignment="1" applyProtection="1">
      <alignment/>
      <protection/>
    </xf>
    <xf numFmtId="0" fontId="9" fillId="0" borderId="24" xfId="0" applyFont="1" applyBorder="1" applyAlignment="1" applyProtection="1">
      <alignment horizontal="centerContinuous" vertical="center"/>
      <protection/>
    </xf>
    <xf numFmtId="0" fontId="9" fillId="0" borderId="25" xfId="0" applyFont="1" applyBorder="1" applyAlignment="1" applyProtection="1">
      <alignment horizontal="centerContinuous" vertical="center"/>
      <protection/>
    </xf>
    <xf numFmtId="164" fontId="8" fillId="0" borderId="24" xfId="0" applyNumberFormat="1" applyFont="1" applyBorder="1" applyAlignment="1" applyProtection="1">
      <alignment horizontal="centerContinuous" vertical="center"/>
      <protection/>
    </xf>
    <xf numFmtId="0" fontId="8" fillId="0" borderId="25" xfId="0" applyFont="1" applyBorder="1" applyAlignment="1" applyProtection="1">
      <alignment horizontal="centerContinuous"/>
      <protection/>
    </xf>
    <xf numFmtId="0" fontId="10" fillId="0" borderId="11" xfId="0" applyFont="1" applyBorder="1" applyAlignment="1" applyProtection="1">
      <alignment vertical="top"/>
      <protection/>
    </xf>
    <xf numFmtId="0" fontId="9" fillId="0" borderId="0" xfId="0" applyFont="1" applyBorder="1" applyAlignment="1" applyProtection="1">
      <alignment vertical="center"/>
      <protection/>
    </xf>
    <xf numFmtId="0" fontId="10" fillId="0" borderId="0" xfId="0" applyFont="1" applyBorder="1" applyAlignment="1" applyProtection="1">
      <alignment vertical="top"/>
      <protection/>
    </xf>
    <xf numFmtId="0" fontId="10" fillId="0" borderId="11" xfId="0" applyFont="1" applyFill="1" applyBorder="1" applyAlignment="1" applyProtection="1">
      <alignment vertical="top"/>
      <protection/>
    </xf>
    <xf numFmtId="164" fontId="0" fillId="0" borderId="26" xfId="0" applyNumberFormat="1" applyFill="1" applyBorder="1" applyAlignment="1" applyProtection="1">
      <alignment horizontal="center" vertical="center"/>
      <protection/>
    </xf>
    <xf numFmtId="0" fontId="0" fillId="0" borderId="0" xfId="0" applyFont="1" applyAlignment="1">
      <alignment/>
    </xf>
    <xf numFmtId="0" fontId="0" fillId="2" borderId="5" xfId="0" applyFont="1" applyFill="1" applyBorder="1" applyAlignment="1">
      <alignment horizontal="centerContinuous"/>
    </xf>
    <xf numFmtId="0" fontId="0" fillId="0" borderId="0" xfId="0" applyFont="1" applyAlignment="1" applyProtection="1">
      <alignment/>
      <protection/>
    </xf>
    <xf numFmtId="164" fontId="0" fillId="2" borderId="5" xfId="0" applyNumberFormat="1" applyFont="1" applyFill="1" applyBorder="1" applyAlignment="1" applyProtection="1">
      <alignment horizontal="center" vertical="center"/>
      <protection/>
    </xf>
    <xf numFmtId="0" fontId="0" fillId="0" borderId="0" xfId="0" applyAlignment="1" quotePrefix="1">
      <alignment/>
    </xf>
    <xf numFmtId="1" fontId="0" fillId="0" borderId="0" xfId="0" applyNumberFormat="1" applyAlignment="1">
      <alignment/>
    </xf>
    <xf numFmtId="0" fontId="9" fillId="0" borderId="0" xfId="0" applyFont="1" applyBorder="1" applyAlignment="1">
      <alignment horizontal="left" vertical="top"/>
    </xf>
    <xf numFmtId="0" fontId="9" fillId="0" borderId="7" xfId="0" applyFont="1" applyBorder="1" applyAlignment="1">
      <alignment horizontal="center" vertical="center" shrinkToFit="1"/>
    </xf>
    <xf numFmtId="164" fontId="8" fillId="0" borderId="3" xfId="0" applyNumberFormat="1" applyFont="1" applyFill="1" applyBorder="1" applyAlignment="1" applyProtection="1">
      <alignment horizontal="center" vertical="center"/>
      <protection locked="0"/>
    </xf>
    <xf numFmtId="164" fontId="8" fillId="0" borderId="3" xfId="0" applyNumberFormat="1" applyFont="1" applyFill="1" applyBorder="1" applyAlignment="1">
      <alignment horizontal="center" vertical="center"/>
    </xf>
    <xf numFmtId="164" fontId="8" fillId="0" borderId="19" xfId="0" applyNumberFormat="1" applyFont="1" applyFill="1" applyBorder="1" applyAlignment="1">
      <alignment horizontal="center" vertical="center"/>
    </xf>
    <xf numFmtId="0" fontId="12" fillId="3" borderId="7" xfId="0" applyFont="1" applyFill="1" applyBorder="1" applyAlignment="1" applyProtection="1">
      <alignment horizontal="center" vertical="center"/>
      <protection locked="0"/>
    </xf>
    <xf numFmtId="164" fontId="0" fillId="3" borderId="1" xfId="0" applyNumberFormat="1" applyFill="1" applyBorder="1" applyAlignment="1" applyProtection="1">
      <alignment horizontal="center" vertical="center"/>
      <protection locked="0"/>
    </xf>
    <xf numFmtId="0" fontId="8" fillId="3" borderId="1" xfId="0" applyFont="1" applyFill="1" applyBorder="1" applyAlignment="1" applyProtection="1">
      <alignment horizontal="center" vertical="center"/>
      <protection locked="0"/>
    </xf>
    <xf numFmtId="1" fontId="8" fillId="3" borderId="7" xfId="0" applyNumberFormat="1" applyFont="1" applyFill="1" applyBorder="1" applyAlignment="1" applyProtection="1">
      <alignment horizontal="center" vertical="center"/>
      <protection locked="0"/>
    </xf>
    <xf numFmtId="1" fontId="8" fillId="3" borderId="12" xfId="0" applyNumberFormat="1" applyFont="1" applyFill="1" applyBorder="1" applyAlignment="1" applyProtection="1">
      <alignment horizontal="center" vertical="center"/>
      <protection locked="0"/>
    </xf>
    <xf numFmtId="165" fontId="8" fillId="3" borderId="3" xfId="0" applyNumberFormat="1" applyFont="1" applyFill="1" applyBorder="1" applyAlignment="1" applyProtection="1">
      <alignment horizontal="center" vertical="center"/>
      <protection locked="0"/>
    </xf>
    <xf numFmtId="165" fontId="0" fillId="3" borderId="3" xfId="0" applyNumberFormat="1" applyFill="1" applyBorder="1" applyAlignment="1" applyProtection="1">
      <alignment horizontal="center" vertical="center"/>
      <protection locked="0"/>
    </xf>
    <xf numFmtId="164" fontId="8" fillId="3" borderId="3" xfId="0" applyNumberFormat="1" applyFont="1" applyFill="1" applyBorder="1" applyAlignment="1" applyProtection="1">
      <alignment horizontal="center" vertical="center"/>
      <protection locked="0"/>
    </xf>
    <xf numFmtId="164" fontId="0" fillId="3" borderId="6"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protection locked="0"/>
    </xf>
    <xf numFmtId="0" fontId="11" fillId="0" borderId="0" xfId="0" applyNumberFormat="1" applyFont="1" applyFill="1" applyBorder="1" applyAlignment="1" applyProtection="1">
      <alignment horizontal="centerContinuous" vertical="center"/>
      <protection locked="0"/>
    </xf>
    <xf numFmtId="0" fontId="7" fillId="0" borderId="0" xfId="0" applyNumberFormat="1" applyFont="1" applyFill="1" applyBorder="1" applyAlignment="1" applyProtection="1">
      <alignment horizontal="centerContinuous"/>
      <protection locked="0"/>
    </xf>
    <xf numFmtId="0" fontId="1" fillId="0" borderId="0" xfId="0" applyNumberFormat="1" applyFont="1" applyFill="1" applyBorder="1" applyAlignment="1" applyProtection="1">
      <alignment horizontal="centerContinuous"/>
      <protection locked="0"/>
    </xf>
    <xf numFmtId="0" fontId="10" fillId="0" borderId="0" xfId="0" applyNumberFormat="1" applyFont="1" applyFill="1" applyBorder="1" applyAlignment="1" applyProtection="1">
      <alignment horizontal="center"/>
      <protection locked="0"/>
    </xf>
    <xf numFmtId="0" fontId="10"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alignment/>
      <protection locked="0"/>
    </xf>
    <xf numFmtId="0" fontId="6" fillId="0" borderId="0" xfId="0" applyNumberFormat="1"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center" vertical="center"/>
      <protection locked="0"/>
    </xf>
    <xf numFmtId="0" fontId="10"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top"/>
      <protection locked="0"/>
    </xf>
    <xf numFmtId="0" fontId="8"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9" fillId="0" borderId="0" xfId="0" applyNumberFormat="1" applyFont="1" applyFill="1" applyBorder="1" applyAlignment="1" applyProtection="1">
      <alignment vertical="center"/>
      <protection locked="0"/>
    </xf>
    <xf numFmtId="0" fontId="10"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vertical="top"/>
      <protection locked="0"/>
    </xf>
    <xf numFmtId="0" fontId="4" fillId="0" borderId="0" xfId="0" applyNumberFormat="1" applyFont="1" applyFill="1" applyBorder="1" applyAlignment="1" applyProtection="1">
      <alignment/>
      <protection locked="0"/>
    </xf>
    <xf numFmtId="0" fontId="10" fillId="0" borderId="0" xfId="0" applyNumberFormat="1" applyFont="1" applyFill="1" applyBorder="1" applyAlignment="1" applyProtection="1">
      <alignment vertical="top"/>
      <protection locked="0"/>
    </xf>
    <xf numFmtId="0" fontId="9" fillId="0" borderId="0" xfId="0" applyNumberFormat="1" applyFont="1" applyFill="1" applyBorder="1" applyAlignment="1" applyProtection="1">
      <alignment horizontal="centerContinuous" vertical="center"/>
      <protection locked="0"/>
    </xf>
    <xf numFmtId="0" fontId="9" fillId="0" borderId="0" xfId="0" applyNumberFormat="1" applyFont="1" applyFill="1" applyBorder="1" applyAlignment="1" applyProtection="1">
      <alignment horizontal="right" vertical="center"/>
      <protection locked="0"/>
    </xf>
    <xf numFmtId="0" fontId="8" fillId="0" borderId="0" xfId="0" applyNumberFormat="1" applyFont="1" applyFill="1" applyBorder="1" applyAlignment="1" applyProtection="1">
      <alignment horizontal="centerContinuous"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Continuous" vertical="center"/>
      <protection locked="0"/>
    </xf>
    <xf numFmtId="164" fontId="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10" fillId="0" borderId="4" xfId="0" applyFont="1" applyFill="1" applyBorder="1" applyAlignment="1" applyProtection="1">
      <alignment horizontal="left" vertical="top"/>
      <protection/>
    </xf>
    <xf numFmtId="0" fontId="9" fillId="0" borderId="2" xfId="0" applyFont="1" applyFill="1" applyBorder="1" applyAlignment="1" applyProtection="1">
      <alignment horizontal="centerContinuous" vertical="top"/>
      <protection/>
    </xf>
    <xf numFmtId="164" fontId="8" fillId="0" borderId="2" xfId="0" applyNumberFormat="1" applyFont="1" applyFill="1" applyBorder="1" applyAlignment="1" applyProtection="1">
      <alignment horizontal="centerContinuous" vertical="center"/>
      <protection/>
    </xf>
    <xf numFmtId="0" fontId="8" fillId="0" borderId="2" xfId="0" applyFont="1" applyFill="1" applyBorder="1" applyAlignment="1" applyProtection="1">
      <alignment horizontal="centerContinuous"/>
      <protection/>
    </xf>
    <xf numFmtId="0" fontId="10" fillId="0" borderId="2"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165" fontId="8" fillId="0" borderId="3"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xf>
    <xf numFmtId="164" fontId="8" fillId="0" borderId="12" xfId="0" applyNumberFormat="1" applyFont="1" applyFill="1" applyBorder="1" applyAlignment="1" applyProtection="1">
      <alignment horizontal="center" vertical="center"/>
      <protection/>
    </xf>
    <xf numFmtId="164" fontId="0" fillId="0" borderId="23" xfId="0" applyNumberFormat="1" applyFont="1" applyFill="1" applyBorder="1" applyAlignment="1" applyProtection="1">
      <alignment horizontal="center" vertical="center"/>
      <protection/>
    </xf>
    <xf numFmtId="20" fontId="0" fillId="0" borderId="0" xfId="0" applyNumberFormat="1" applyAlignment="1">
      <alignment/>
    </xf>
    <xf numFmtId="164" fontId="0" fillId="0" borderId="5" xfId="0" applyNumberFormat="1" applyFont="1" applyFill="1" applyBorder="1" applyAlignment="1" applyProtection="1">
      <alignment horizontal="center" vertical="center"/>
      <protection/>
    </xf>
    <xf numFmtId="0" fontId="4" fillId="0" borderId="23" xfId="0" applyFont="1" applyFill="1" applyBorder="1" applyAlignment="1" applyProtection="1">
      <alignment vertical="center"/>
      <protection/>
    </xf>
    <xf numFmtId="0" fontId="7" fillId="0" borderId="26" xfId="0" applyFont="1" applyFill="1" applyBorder="1" applyAlignment="1" applyProtection="1">
      <alignment horizontal="center"/>
      <protection/>
    </xf>
    <xf numFmtId="0" fontId="10" fillId="0" borderId="26" xfId="0" applyFont="1" applyFill="1" applyBorder="1" applyAlignment="1" applyProtection="1">
      <alignment horizontal="left" vertical="center"/>
      <protection/>
    </xf>
    <xf numFmtId="1" fontId="8" fillId="0" borderId="27" xfId="0" applyNumberFormat="1" applyFont="1" applyFill="1" applyBorder="1" applyAlignment="1" applyProtection="1">
      <alignment horizontal="center" vertical="center"/>
      <protection/>
    </xf>
    <xf numFmtId="165" fontId="8" fillId="0" borderId="3" xfId="0" applyNumberFormat="1" applyFont="1" applyFill="1" applyBorder="1" applyAlignment="1" applyProtection="1">
      <alignment horizontal="center" vertical="center"/>
      <protection/>
    </xf>
    <xf numFmtId="164" fontId="0" fillId="0" borderId="12" xfId="0" applyNumberFormat="1" applyFont="1" applyFill="1" applyBorder="1" applyAlignment="1" applyProtection="1">
      <alignment horizontal="center" vertical="center"/>
      <protection/>
    </xf>
    <xf numFmtId="0" fontId="6" fillId="0" borderId="5"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6" fillId="0" borderId="23" xfId="0" applyFont="1" applyFill="1" applyBorder="1" applyAlignment="1" applyProtection="1">
      <alignment horizontal="center" vertical="center"/>
      <protection/>
    </xf>
    <xf numFmtId="0" fontId="4" fillId="0" borderId="23" xfId="0" applyFont="1" applyFill="1" applyBorder="1" applyAlignment="1" applyProtection="1">
      <alignment horizontal="left"/>
      <protection/>
    </xf>
    <xf numFmtId="165" fontId="16" fillId="0" borderId="3" xfId="0" applyNumberFormat="1" applyFont="1" applyBorder="1" applyAlignment="1" applyProtection="1">
      <alignment horizontal="center" vertical="center"/>
      <protection/>
    </xf>
    <xf numFmtId="164" fontId="16" fillId="0" borderId="3" xfId="0" applyNumberFormat="1" applyFont="1" applyBorder="1" applyAlignment="1" applyProtection="1">
      <alignment horizontal="center" vertical="center"/>
      <protection/>
    </xf>
    <xf numFmtId="0" fontId="9" fillId="0" borderId="0" xfId="0" applyNumberFormat="1" applyFont="1" applyFill="1" applyBorder="1" applyAlignment="1" applyProtection="1">
      <alignment vertical="top"/>
      <protection locked="0"/>
    </xf>
    <xf numFmtId="2" fontId="0" fillId="0" borderId="0" xfId="0" applyNumberFormat="1" applyAlignment="1">
      <alignment/>
    </xf>
    <xf numFmtId="165" fontId="16" fillId="0" borderId="3" xfId="0" applyNumberFormat="1" applyFont="1" applyBorder="1" applyAlignment="1" applyProtection="1">
      <alignment horizontal="center" vertical="center"/>
      <protection/>
    </xf>
    <xf numFmtId="164" fontId="16" fillId="0" borderId="3" xfId="0" applyNumberFormat="1" applyFont="1" applyFill="1" applyBorder="1" applyAlignment="1" applyProtection="1">
      <alignment horizontal="center" vertical="center"/>
      <protection locked="0"/>
    </xf>
    <xf numFmtId="164" fontId="17" fillId="0" borderId="3" xfId="0" applyNumberFormat="1" applyFont="1" applyBorder="1" applyAlignment="1" applyProtection="1">
      <alignment horizontal="center" vertical="center"/>
      <protection/>
    </xf>
    <xf numFmtId="164" fontId="17" fillId="0" borderId="3" xfId="0" applyNumberFormat="1" applyFont="1" applyFill="1" applyBorder="1" applyAlignment="1" applyProtection="1">
      <alignment horizontal="center" vertical="center"/>
      <protection/>
    </xf>
    <xf numFmtId="164" fontId="16" fillId="0" borderId="3" xfId="0" applyNumberFormat="1" applyFont="1" applyFill="1" applyBorder="1" applyAlignment="1" applyProtection="1">
      <alignment horizontal="center" vertical="center"/>
      <protection locked="0"/>
    </xf>
    <xf numFmtId="164" fontId="16" fillId="0" borderId="7" xfId="0" applyNumberFormat="1" applyFont="1" applyBorder="1" applyAlignment="1">
      <alignment horizontal="center" vertical="center"/>
    </xf>
    <xf numFmtId="1" fontId="16" fillId="0" borderId="7" xfId="0" applyNumberFormat="1" applyFont="1" applyFill="1" applyBorder="1" applyAlignment="1">
      <alignment horizontal="center" vertical="center"/>
    </xf>
    <xf numFmtId="164" fontId="16" fillId="0" borderId="4" xfId="0" applyNumberFormat="1" applyFont="1" applyBorder="1" applyAlignment="1">
      <alignment horizontal="centerContinuous" vertical="center"/>
    </xf>
    <xf numFmtId="0" fontId="17" fillId="0" borderId="1" xfId="0" applyFont="1" applyBorder="1" applyAlignment="1">
      <alignment horizontal="centerContinuous"/>
    </xf>
    <xf numFmtId="164" fontId="16" fillId="0" borderId="16" xfId="0" applyNumberFormat="1" applyFont="1" applyBorder="1" applyAlignment="1">
      <alignment horizontal="center" vertical="center"/>
    </xf>
    <xf numFmtId="1" fontId="8" fillId="0" borderId="0" xfId="0" applyNumberFormat="1" applyFont="1" applyFill="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8" fillId="0" borderId="0" xfId="0" applyNumberFormat="1" applyFont="1" applyFill="1" applyBorder="1" applyAlignment="1" applyProtection="1">
      <alignment horizontal="left" vertical="center"/>
      <protection locked="0"/>
    </xf>
    <xf numFmtId="0" fontId="0" fillId="0" borderId="0" xfId="0" applyNumberFormat="1" applyAlignment="1">
      <alignment/>
    </xf>
    <xf numFmtId="173" fontId="0" fillId="0" borderId="0" xfId="0" applyNumberFormat="1" applyAlignment="1">
      <alignment/>
    </xf>
    <xf numFmtId="165" fontId="8" fillId="0" borderId="12" xfId="0" applyNumberFormat="1" applyFont="1" applyFill="1" applyBorder="1" applyAlignment="1" applyProtection="1">
      <alignment horizontal="center" vertical="center"/>
      <protection locked="0"/>
    </xf>
    <xf numFmtId="164" fontId="8" fillId="0" borderId="3" xfId="0" applyNumberFormat="1" applyFont="1" applyFill="1" applyBorder="1" applyAlignment="1" applyProtection="1">
      <alignment horizontal="center" vertical="center"/>
      <protection/>
    </xf>
    <xf numFmtId="165" fontId="0" fillId="3" borderId="0" xfId="0" applyNumberFormat="1" applyFill="1" applyAlignment="1" applyProtection="1">
      <alignment horizontal="center" vertical="center"/>
      <protection locked="0"/>
    </xf>
    <xf numFmtId="0" fontId="18" fillId="2" borderId="3" xfId="0" applyNumberFormat="1" applyFont="1" applyFill="1" applyBorder="1" applyAlignment="1" applyProtection="1">
      <alignment horizontal="left" vertical="center"/>
      <protection locked="0"/>
    </xf>
    <xf numFmtId="0" fontId="0" fillId="0" borderId="23" xfId="0" applyFont="1" applyFill="1" applyBorder="1" applyAlignment="1" applyProtection="1">
      <alignment/>
      <protection/>
    </xf>
    <xf numFmtId="0" fontId="0" fillId="0" borderId="25" xfId="0" applyFont="1" applyFill="1" applyBorder="1" applyAlignment="1" applyProtection="1">
      <alignment/>
      <protection/>
    </xf>
    <xf numFmtId="1" fontId="8" fillId="0" borderId="12"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Continuous"/>
      <protection locked="0"/>
    </xf>
    <xf numFmtId="0" fontId="0" fillId="0" borderId="0" xfId="0" applyNumberFormat="1" applyFont="1" applyFill="1" applyBorder="1" applyAlignment="1" applyProtection="1">
      <alignment/>
      <protection locked="0"/>
    </xf>
    <xf numFmtId="164" fontId="8"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locked="0"/>
    </xf>
    <xf numFmtId="164" fontId="0" fillId="2" borderId="3" xfId="0" applyNumberFormat="1" applyFont="1" applyFill="1" applyBorder="1" applyAlignment="1" applyProtection="1">
      <alignment horizontal="center" vertical="center"/>
      <protection/>
    </xf>
    <xf numFmtId="0" fontId="0" fillId="2" borderId="1" xfId="0" applyFont="1" applyFill="1" applyBorder="1" applyAlignment="1">
      <alignment/>
    </xf>
    <xf numFmtId="164" fontId="8" fillId="0" borderId="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locked="0"/>
    </xf>
    <xf numFmtId="0" fontId="0" fillId="0" borderId="0" xfId="0" applyFont="1" applyFill="1" applyAlignment="1">
      <alignment/>
    </xf>
    <xf numFmtId="165" fontId="8" fillId="0" borderId="12" xfId="0" applyNumberFormat="1" applyFont="1" applyFill="1" applyBorder="1" applyAlignment="1" applyProtection="1">
      <alignment horizontal="center" vertical="center"/>
      <protection locked="0"/>
    </xf>
    <xf numFmtId="164" fontId="8" fillId="0" borderId="23"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Continuous" vertical="center"/>
      <protection locked="0"/>
    </xf>
    <xf numFmtId="0" fontId="0" fillId="0" borderId="0" xfId="0" applyNumberFormat="1" applyFont="1" applyFill="1" applyBorder="1" applyAlignment="1" applyProtection="1">
      <alignment horizontal="center" vertical="top"/>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pplyProtection="1">
      <alignment horizontal="left"/>
      <protection locked="0"/>
    </xf>
    <xf numFmtId="0" fontId="0" fillId="0" borderId="0" xfId="0" applyFont="1" applyFill="1" applyBorder="1" applyAlignment="1">
      <alignment horizontal="center"/>
    </xf>
    <xf numFmtId="0" fontId="0" fillId="0" borderId="0" xfId="0" applyFon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4" fillId="0" borderId="3" xfId="0" applyFont="1" applyFill="1" applyBorder="1" applyAlignment="1" applyProtection="1">
      <alignment horizontal="left" vertical="top" shrinkToFit="1"/>
      <protection/>
    </xf>
    <xf numFmtId="0" fontId="15" fillId="0" borderId="3" xfId="0" applyFont="1" applyFill="1" applyBorder="1" applyAlignment="1" applyProtection="1">
      <alignment horizontal="left" vertical="top" shrinkToFit="1"/>
      <protection/>
    </xf>
    <xf numFmtId="0" fontId="10" fillId="0" borderId="3" xfId="0" applyFont="1" applyFill="1" applyBorder="1" applyAlignment="1" applyProtection="1">
      <alignment horizontal="left" vertical="center"/>
      <protection/>
    </xf>
    <xf numFmtId="0" fontId="10" fillId="0" borderId="3" xfId="0" applyFont="1" applyFill="1" applyBorder="1" applyAlignment="1" applyProtection="1">
      <alignment horizontal="center" vertical="center"/>
      <protection/>
    </xf>
    <xf numFmtId="0" fontId="10" fillId="0" borderId="0" xfId="0" applyFont="1" applyFill="1" applyBorder="1" applyAlignment="1" applyProtection="1">
      <alignment horizontal="left" vertical="top"/>
      <protection/>
    </xf>
    <xf numFmtId="0" fontId="9" fillId="0" borderId="0" xfId="0" applyFont="1" applyFill="1" applyBorder="1" applyAlignment="1" applyProtection="1">
      <alignment horizontal="centerContinuous" vertical="top"/>
      <protection/>
    </xf>
    <xf numFmtId="164" fontId="8" fillId="0" borderId="0" xfId="0" applyNumberFormat="1" applyFont="1" applyFill="1" applyBorder="1" applyAlignment="1" applyProtection="1">
      <alignment horizontal="centerContinuous" vertical="center"/>
      <protection/>
    </xf>
    <xf numFmtId="0" fontId="8" fillId="0" borderId="0" xfId="0" applyFont="1" applyFill="1" applyBorder="1" applyAlignment="1" applyProtection="1">
      <alignment horizontal="centerContinuous"/>
      <protection/>
    </xf>
    <xf numFmtId="0" fontId="18" fillId="2" borderId="3" xfId="0" applyNumberFormat="1" applyFont="1" applyFill="1" applyBorder="1" applyAlignment="1" applyProtection="1">
      <alignment horizontal="left" vertical="center"/>
      <protection/>
    </xf>
    <xf numFmtId="0" fontId="0" fillId="2" borderId="4" xfId="0" applyFont="1" applyFill="1" applyBorder="1" applyAlignment="1" applyProtection="1">
      <alignment/>
      <protection/>
    </xf>
    <xf numFmtId="0" fontId="13" fillId="2" borderId="3" xfId="0" applyNumberFormat="1" applyFont="1" applyFill="1" applyBorder="1" applyAlignment="1" applyProtection="1">
      <alignment horizontal="center" vertical="center" wrapText="1"/>
      <protection/>
    </xf>
    <xf numFmtId="0" fontId="22" fillId="2" borderId="3" xfId="0" applyNumberFormat="1" applyFont="1" applyFill="1" applyBorder="1" applyAlignment="1" applyProtection="1">
      <alignment horizontal="center" vertical="center" wrapText="1"/>
      <protection/>
    </xf>
    <xf numFmtId="0" fontId="22" fillId="2" borderId="3" xfId="0" applyNumberFormat="1" applyFont="1" applyFill="1" applyBorder="1" applyAlignment="1" applyProtection="1">
      <alignment horizontal="center" vertical="center" wrapText="1"/>
      <protection/>
    </xf>
    <xf numFmtId="0" fontId="13" fillId="2" borderId="3"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0" fillId="0" borderId="0" xfId="0" applyFont="1" applyFill="1" applyAlignment="1">
      <alignment/>
    </xf>
    <xf numFmtId="0" fontId="0" fillId="0" borderId="0" xfId="0" applyFont="1" applyFill="1" applyAlignment="1" applyProtection="1">
      <alignment/>
      <protection/>
    </xf>
    <xf numFmtId="0" fontId="11" fillId="0" borderId="4" xfId="0" applyFont="1" applyFill="1" applyBorder="1" applyAlignment="1" applyProtection="1">
      <alignment horizontal="centerContinuous" vertical="center"/>
      <protection/>
    </xf>
    <xf numFmtId="0" fontId="13" fillId="0" borderId="11" xfId="0" applyFont="1" applyFill="1" applyBorder="1" applyAlignment="1" applyProtection="1">
      <alignment horizontal="centerContinuous" vertical="center"/>
      <protection/>
    </xf>
    <xf numFmtId="0" fontId="7" fillId="0" borderId="11" xfId="0" applyFont="1" applyFill="1" applyBorder="1" applyAlignment="1" applyProtection="1">
      <alignment/>
      <protection/>
    </xf>
    <xf numFmtId="0" fontId="21" fillId="0" borderId="28" xfId="0" applyNumberFormat="1" applyFont="1" applyFill="1" applyBorder="1" applyAlignment="1" applyProtection="1">
      <alignment horizontal="center" vertical="center" wrapText="1"/>
      <protection hidden="1"/>
    </xf>
    <xf numFmtId="0" fontId="21" fillId="0" borderId="25" xfId="0" applyNumberFormat="1" applyFont="1" applyFill="1" applyBorder="1" applyAlignment="1" applyProtection="1">
      <alignment horizontal="center" vertical="center" wrapText="1"/>
      <protection hidden="1"/>
    </xf>
    <xf numFmtId="0" fontId="8" fillId="0" borderId="11" xfId="0" applyFont="1" applyFill="1" applyBorder="1" applyAlignment="1" applyProtection="1">
      <alignment/>
      <protection/>
    </xf>
    <xf numFmtId="0" fontId="10" fillId="0" borderId="3" xfId="0" applyFont="1" applyFill="1" applyBorder="1" applyAlignment="1" applyProtection="1">
      <alignment horizontal="left" vertical="top"/>
      <protection/>
    </xf>
    <xf numFmtId="164" fontId="10" fillId="0" borderId="3" xfId="0" applyNumberFormat="1" applyFont="1" applyFill="1" applyBorder="1" applyAlignment="1" applyProtection="1">
      <alignment horizontal="left" vertical="center"/>
      <protection/>
    </xf>
    <xf numFmtId="0" fontId="0" fillId="0" borderId="11" xfId="0" applyNumberFormat="1" applyFont="1" applyFill="1" applyBorder="1" applyAlignment="1" applyProtection="1">
      <alignment horizontal="center" vertical="center"/>
      <protection hidden="1"/>
    </xf>
    <xf numFmtId="0" fontId="0" fillId="0" borderId="0" xfId="0" applyNumberFormat="1" applyFont="1" applyFill="1" applyBorder="1" applyAlignment="1" applyProtection="1">
      <alignment/>
      <protection hidden="1"/>
    </xf>
    <xf numFmtId="0" fontId="10" fillId="0" borderId="0" xfId="0" applyNumberFormat="1" applyFont="1" applyFill="1" applyBorder="1" applyAlignment="1" applyProtection="1">
      <alignment horizontal="center" vertical="center"/>
      <protection hidden="1"/>
    </xf>
    <xf numFmtId="0" fontId="10" fillId="0" borderId="26" xfId="0" applyNumberFormat="1" applyFont="1" applyFill="1" applyBorder="1" applyAlignment="1" applyProtection="1">
      <alignment horizontal="left" vertical="center"/>
      <protection hidden="1"/>
    </xf>
    <xf numFmtId="165" fontId="0" fillId="0" borderId="12" xfId="0" applyNumberFormat="1" applyFont="1" applyFill="1" applyBorder="1" applyAlignment="1" applyProtection="1">
      <alignment horizontal="center" vertical="center"/>
      <protection/>
    </xf>
    <xf numFmtId="165" fontId="0" fillId="0" borderId="23" xfId="0" applyNumberFormat="1" applyFont="1" applyFill="1" applyBorder="1" applyAlignment="1" applyProtection="1">
      <alignment horizontal="center" vertical="center"/>
      <protection/>
    </xf>
    <xf numFmtId="0" fontId="0" fillId="0" borderId="11" xfId="0" applyFont="1" applyFill="1" applyBorder="1" applyAlignment="1" applyProtection="1">
      <alignment/>
      <protection hidden="1"/>
    </xf>
    <xf numFmtId="0" fontId="0" fillId="0" borderId="0" xfId="0" applyFont="1" applyFill="1" applyBorder="1" applyAlignment="1" applyProtection="1" quotePrefix="1">
      <alignment horizontal="right"/>
      <protection hidden="1"/>
    </xf>
    <xf numFmtId="0" fontId="0" fillId="0" borderId="0" xfId="0" applyFont="1" applyFill="1" applyBorder="1" applyAlignment="1" applyProtection="1">
      <alignment horizontal="center"/>
      <protection hidden="1"/>
    </xf>
    <xf numFmtId="0" fontId="0" fillId="0" borderId="26" xfId="0" applyFont="1" applyFill="1" applyBorder="1" applyAlignment="1" applyProtection="1">
      <alignment/>
      <protection hidden="1"/>
    </xf>
    <xf numFmtId="0" fontId="6" fillId="0" borderId="4" xfId="0" applyFont="1" applyFill="1" applyBorder="1" applyAlignment="1" applyProtection="1">
      <alignment horizontal="center" vertical="center"/>
      <protection/>
    </xf>
    <xf numFmtId="0" fontId="0" fillId="0" borderId="0" xfId="0" applyFont="1" applyFill="1" applyBorder="1" applyAlignment="1" applyProtection="1">
      <alignment/>
      <protection hidden="1"/>
    </xf>
    <xf numFmtId="2" fontId="0" fillId="0" borderId="0" xfId="0" applyNumberFormat="1" applyFont="1" applyFill="1" applyAlignment="1">
      <alignment/>
    </xf>
    <xf numFmtId="0" fontId="6" fillId="0" borderId="3" xfId="0" applyFont="1" applyFill="1" applyBorder="1" applyAlignment="1" applyProtection="1">
      <alignment horizontal="center" vertical="center"/>
      <protection/>
    </xf>
    <xf numFmtId="0" fontId="9" fillId="0" borderId="1" xfId="0" applyFont="1" applyFill="1" applyBorder="1" applyAlignment="1" applyProtection="1">
      <alignment vertical="top"/>
      <protection/>
    </xf>
    <xf numFmtId="165" fontId="8" fillId="0" borderId="3" xfId="0" applyNumberFormat="1" applyFont="1" applyFill="1" applyBorder="1" applyAlignment="1" applyProtection="1">
      <alignment horizontal="center" vertical="center"/>
      <protection/>
    </xf>
    <xf numFmtId="20" fontId="0" fillId="0" borderId="0" xfId="0" applyNumberFormat="1" applyFont="1" applyFill="1" applyAlignment="1">
      <alignment/>
    </xf>
    <xf numFmtId="165" fontId="19" fillId="0" borderId="3" xfId="0" applyNumberFormat="1" applyFont="1" applyFill="1" applyBorder="1" applyAlignment="1" applyProtection="1">
      <alignment/>
      <protection/>
    </xf>
    <xf numFmtId="4" fontId="19" fillId="0" borderId="3" xfId="0" applyNumberFormat="1" applyFont="1" applyFill="1" applyBorder="1" applyAlignment="1" applyProtection="1">
      <alignment/>
      <protection/>
    </xf>
    <xf numFmtId="0" fontId="9" fillId="0" borderId="3" xfId="0" applyFont="1" applyFill="1" applyBorder="1" applyAlignment="1" applyProtection="1">
      <alignment vertical="top"/>
      <protection/>
    </xf>
    <xf numFmtId="1" fontId="8" fillId="0" borderId="3" xfId="0" applyNumberFormat="1" applyFont="1" applyFill="1" applyBorder="1" applyAlignment="1" applyProtection="1">
      <alignment horizontal="center" vertical="center"/>
      <protection/>
    </xf>
    <xf numFmtId="1" fontId="0" fillId="0" borderId="3" xfId="0" applyNumberFormat="1" applyFont="1" applyFill="1" applyBorder="1" applyAlignment="1" applyProtection="1">
      <alignment horizontal="center" vertical="center"/>
      <protection/>
    </xf>
    <xf numFmtId="1" fontId="0" fillId="0" borderId="3" xfId="0" applyNumberFormat="1" applyFont="1" applyFill="1" applyBorder="1" applyAlignment="1" applyProtection="1">
      <alignment horizontal="center" vertical="center"/>
      <protection/>
    </xf>
    <xf numFmtId="1" fontId="0" fillId="0" borderId="26" xfId="0" applyNumberFormat="1" applyFont="1" applyFill="1" applyBorder="1" applyAlignment="1" applyProtection="1">
      <alignment/>
      <protection hidden="1"/>
    </xf>
    <xf numFmtId="164" fontId="0" fillId="0" borderId="3" xfId="0" applyNumberFormat="1" applyFont="1" applyFill="1" applyBorder="1" applyAlignment="1" applyProtection="1">
      <alignment horizontal="center" vertical="center"/>
      <protection/>
    </xf>
    <xf numFmtId="1" fontId="0" fillId="0" borderId="3" xfId="0" applyNumberFormat="1" applyFont="1" applyFill="1" applyBorder="1" applyAlignment="1" applyProtection="1">
      <alignment/>
      <protection/>
    </xf>
    <xf numFmtId="1" fontId="8" fillId="0" borderId="3" xfId="0" applyNumberFormat="1" applyFont="1" applyFill="1" applyBorder="1" applyAlignment="1" applyProtection="1">
      <alignment horizontal="right" vertical="center"/>
      <protection/>
    </xf>
    <xf numFmtId="0" fontId="9" fillId="0" borderId="0" xfId="0" applyFont="1" applyFill="1" applyAlignment="1" applyProtection="1">
      <alignment vertical="top"/>
      <protection/>
    </xf>
    <xf numFmtId="165" fontId="8" fillId="0" borderId="5" xfId="0" applyNumberFormat="1" applyFont="1" applyFill="1" applyBorder="1" applyAlignment="1" applyProtection="1">
      <alignment horizontal="center" vertical="center"/>
      <protection/>
    </xf>
    <xf numFmtId="0" fontId="0" fillId="0" borderId="13" xfId="0" applyFont="1" applyFill="1" applyBorder="1" applyAlignment="1" applyProtection="1">
      <alignment/>
      <protection hidden="1"/>
    </xf>
    <xf numFmtId="0" fontId="0" fillId="0" borderId="18" xfId="0" applyFont="1" applyFill="1" applyBorder="1" applyAlignment="1" applyProtection="1">
      <alignment/>
      <protection hidden="1"/>
    </xf>
    <xf numFmtId="0" fontId="0" fillId="0" borderId="27" xfId="0" applyFont="1" applyFill="1" applyBorder="1" applyAlignment="1" applyProtection="1">
      <alignment/>
      <protection hidden="1"/>
    </xf>
    <xf numFmtId="0" fontId="0" fillId="0" borderId="0" xfId="0" applyFont="1" applyFill="1" applyBorder="1" applyAlignment="1" applyProtection="1">
      <alignment/>
      <protection/>
    </xf>
    <xf numFmtId="0" fontId="0" fillId="0" borderId="0" xfId="0" applyFont="1" applyFill="1" applyAlignment="1" quotePrefix="1">
      <alignment/>
    </xf>
    <xf numFmtId="1" fontId="0" fillId="0" borderId="0" xfId="0" applyNumberFormat="1" applyFont="1" applyFill="1" applyAlignment="1">
      <alignment/>
    </xf>
    <xf numFmtId="164" fontId="0" fillId="3" borderId="23" xfId="0" applyNumberFormat="1" applyFont="1" applyFill="1" applyBorder="1" applyAlignment="1" applyProtection="1">
      <alignment horizontal="center"/>
      <protection locked="0"/>
    </xf>
    <xf numFmtId="164" fontId="8" fillId="3" borderId="12" xfId="0" applyNumberFormat="1" applyFont="1" applyFill="1" applyBorder="1" applyAlignment="1" applyProtection="1">
      <alignment horizontal="center"/>
      <protection locked="0"/>
    </xf>
    <xf numFmtId="164" fontId="8" fillId="3" borderId="12" xfId="0" applyNumberFormat="1" applyFont="1" applyFill="1" applyBorder="1" applyAlignment="1" applyProtection="1">
      <alignment horizontal="center" vertical="center"/>
      <protection locked="0"/>
    </xf>
    <xf numFmtId="0" fontId="8" fillId="3" borderId="13" xfId="0" applyFont="1" applyFill="1" applyBorder="1" applyAlignment="1" applyProtection="1">
      <alignment horizontal="center"/>
      <protection locked="0"/>
    </xf>
    <xf numFmtId="1" fontId="8" fillId="3" borderId="12" xfId="0" applyNumberFormat="1"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164" fontId="8" fillId="3" borderId="3" xfId="0" applyNumberFormat="1" applyFont="1" applyFill="1" applyBorder="1" applyAlignment="1" applyProtection="1">
      <alignment horizontal="center" vertical="center"/>
      <protection/>
    </xf>
    <xf numFmtId="1" fontId="8" fillId="3" borderId="23" xfId="0" applyNumberFormat="1" applyFont="1" applyFill="1" applyBorder="1" applyAlignment="1" applyProtection="1">
      <alignment horizontal="center" vertical="center"/>
      <protection locked="0"/>
    </xf>
    <xf numFmtId="0" fontId="18" fillId="3" borderId="3" xfId="0" applyNumberFormat="1" applyFont="1" applyFill="1" applyBorder="1" applyAlignment="1" applyProtection="1">
      <alignment vertical="center"/>
      <protection locked="0"/>
    </xf>
    <xf numFmtId="164" fontId="0" fillId="0" borderId="0" xfId="0" applyNumberFormat="1" applyFont="1" applyFill="1" applyBorder="1" applyAlignment="1" applyProtection="1" quotePrefix="1">
      <alignment/>
      <protection hidden="1"/>
    </xf>
    <xf numFmtId="0" fontId="10" fillId="0" borderId="4" xfId="0" applyFont="1" applyFill="1" applyBorder="1" applyAlignment="1" applyProtection="1">
      <alignment horizontal="left" vertical="center"/>
      <protection/>
    </xf>
    <xf numFmtId="0" fontId="10" fillId="0" borderId="2" xfId="0" applyFont="1" applyFill="1" applyBorder="1" applyAlignment="1" applyProtection="1">
      <alignment horizontal="left" vertical="center"/>
      <protection/>
    </xf>
    <xf numFmtId="164" fontId="10" fillId="0" borderId="3" xfId="0" applyNumberFormat="1" applyFont="1" applyFill="1" applyBorder="1" applyAlignment="1" applyProtection="1">
      <alignment horizontal="left" vertical="center"/>
      <protection/>
    </xf>
    <xf numFmtId="0" fontId="10" fillId="0" borderId="3" xfId="0"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164" fontId="0" fillId="0" borderId="3" xfId="0" applyNumberFormat="1" applyFont="1" applyFill="1" applyBorder="1" applyAlignment="1" applyProtection="1">
      <alignment/>
      <protection/>
    </xf>
    <xf numFmtId="1" fontId="8" fillId="3" borderId="3" xfId="0" applyNumberFormat="1" applyFont="1" applyFill="1" applyBorder="1" applyAlignment="1" applyProtection="1">
      <alignment horizontal="center" vertical="center"/>
      <protection locked="0"/>
    </xf>
    <xf numFmtId="0" fontId="0" fillId="3" borderId="3" xfId="0" applyFont="1" applyFill="1" applyBorder="1" applyAlignment="1" applyProtection="1">
      <alignment/>
      <protection locked="0"/>
    </xf>
    <xf numFmtId="0" fontId="0" fillId="2" borderId="3" xfId="0" applyFont="1" applyFill="1" applyBorder="1" applyAlignment="1">
      <alignment horizontal="center"/>
    </xf>
    <xf numFmtId="1" fontId="0" fillId="0" borderId="3" xfId="0" applyNumberFormat="1" applyFont="1" applyFill="1" applyBorder="1" applyAlignment="1">
      <alignment/>
    </xf>
    <xf numFmtId="164" fontId="0" fillId="2" borderId="3" xfId="0" applyNumberFormat="1" applyFont="1" applyFill="1" applyBorder="1" applyAlignment="1">
      <alignment horizontal="center"/>
    </xf>
    <xf numFmtId="0" fontId="0" fillId="3" borderId="1" xfId="0" applyFill="1" applyBorder="1" applyAlignment="1">
      <alignment horizontal="center" vertical="center"/>
    </xf>
    <xf numFmtId="1" fontId="8" fillId="3" borderId="2" xfId="0" applyNumberFormat="1" applyFont="1" applyFill="1" applyBorder="1" applyAlignment="1">
      <alignment horizontal="center" vertical="center"/>
    </xf>
    <xf numFmtId="1" fontId="8" fillId="3" borderId="18" xfId="0" applyNumberFormat="1" applyFont="1" applyFill="1" applyBorder="1" applyAlignment="1" applyProtection="1">
      <alignment horizontal="center" vertical="center"/>
      <protection locked="0"/>
    </xf>
    <xf numFmtId="165" fontId="8" fillId="0" borderId="13" xfId="0" applyNumberFormat="1" applyFont="1" applyFill="1" applyBorder="1" applyAlignment="1" applyProtection="1">
      <alignment horizontal="center" vertical="center"/>
      <protection/>
    </xf>
    <xf numFmtId="0" fontId="0" fillId="0" borderId="27" xfId="0" applyFont="1" applyFill="1" applyBorder="1" applyAlignment="1" applyProtection="1">
      <alignment horizontal="center"/>
      <protection/>
    </xf>
    <xf numFmtId="1" fontId="8" fillId="3" borderId="13" xfId="0" applyNumberFormat="1" applyFont="1" applyFill="1" applyBorder="1" applyAlignment="1" applyProtection="1">
      <alignment horizontal="center" vertical="center"/>
      <protection locked="0"/>
    </xf>
    <xf numFmtId="0" fontId="8" fillId="0" borderId="3" xfId="0" applyNumberFormat="1" applyFont="1" applyBorder="1" applyAlignment="1" applyProtection="1">
      <alignment horizontal="center" vertical="center"/>
      <protection/>
    </xf>
    <xf numFmtId="0" fontId="8" fillId="3"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xf>
    <xf numFmtId="0" fontId="10" fillId="0" borderId="4" xfId="0" applyFont="1" applyFill="1" applyBorder="1" applyAlignment="1" applyProtection="1">
      <alignment horizontal="center" vertical="top"/>
      <protection/>
    </xf>
    <xf numFmtId="0" fontId="10" fillId="0" borderId="1" xfId="0" applyFont="1" applyFill="1" applyBorder="1" applyAlignment="1" applyProtection="1">
      <alignment horizontal="center" vertical="top"/>
      <protection/>
    </xf>
    <xf numFmtId="1" fontId="8" fillId="0" borderId="4" xfId="0" applyNumberFormat="1" applyFont="1" applyFill="1" applyBorder="1" applyAlignment="1" applyProtection="1">
      <alignment horizontal="center" vertical="center"/>
      <protection/>
    </xf>
    <xf numFmtId="1" fontId="8" fillId="0" borderId="1" xfId="0" applyNumberFormat="1" applyFont="1" applyFill="1" applyBorder="1" applyAlignment="1" applyProtection="1">
      <alignment horizontal="center" vertical="center"/>
      <protection/>
    </xf>
    <xf numFmtId="0" fontId="8" fillId="0" borderId="4" xfId="0" applyFont="1" applyFill="1" applyBorder="1" applyAlignment="1" applyProtection="1">
      <alignment horizontal="center"/>
      <protection/>
    </xf>
    <xf numFmtId="0" fontId="8" fillId="0" borderId="1" xfId="0" applyFont="1" applyFill="1" applyBorder="1" applyAlignment="1" applyProtection="1">
      <alignment horizontal="center"/>
      <protection/>
    </xf>
    <xf numFmtId="164" fontId="8" fillId="0" borderId="13" xfId="0" applyNumberFormat="1"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9" fillId="0" borderId="4" xfId="0" applyFont="1" applyFill="1" applyBorder="1" applyAlignment="1" applyProtection="1">
      <alignment horizontal="left" vertical="top" wrapText="1"/>
      <protection/>
    </xf>
    <xf numFmtId="0" fontId="9" fillId="0" borderId="1" xfId="0" applyFont="1" applyFill="1" applyBorder="1" applyAlignment="1" applyProtection="1">
      <alignment horizontal="left" vertical="top" wrapText="1"/>
      <protection/>
    </xf>
    <xf numFmtId="0" fontId="10" fillId="0" borderId="4" xfId="0" applyFont="1" applyFill="1" applyBorder="1" applyAlignment="1" applyProtection="1">
      <alignment horizontal="left" vertical="center"/>
      <protection/>
    </xf>
    <xf numFmtId="0" fontId="10" fillId="0" borderId="2" xfId="0" applyFont="1" applyFill="1" applyBorder="1" applyAlignment="1" applyProtection="1">
      <alignment horizontal="left" vertical="center"/>
      <protection/>
    </xf>
    <xf numFmtId="0" fontId="9" fillId="0" borderId="13"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9" fillId="0" borderId="4" xfId="0" applyFont="1" applyFill="1" applyBorder="1" applyAlignment="1" applyProtection="1">
      <alignment horizontal="left" vertical="center" wrapText="1"/>
      <protection/>
    </xf>
    <xf numFmtId="0" fontId="9" fillId="0" borderId="2" xfId="0" applyFont="1" applyFill="1" applyBorder="1" applyAlignment="1" applyProtection="1">
      <alignment horizontal="left" vertical="center" wrapText="1"/>
      <protection/>
    </xf>
    <xf numFmtId="0" fontId="9" fillId="0" borderId="24" xfId="0" applyFont="1" applyFill="1" applyBorder="1" applyAlignment="1" applyProtection="1">
      <alignment horizontal="left" vertical="center" wrapText="1"/>
      <protection/>
    </xf>
    <xf numFmtId="0" fontId="9" fillId="0" borderId="28" xfId="0"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8" xfId="0" applyFont="1" applyFill="1" applyBorder="1" applyAlignment="1" applyProtection="1">
      <alignment horizontal="left" vertical="center" wrapText="1"/>
      <protection/>
    </xf>
    <xf numFmtId="0" fontId="0" fillId="0" borderId="18"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4" fillId="0" borderId="3" xfId="0" applyFont="1" applyFill="1" applyBorder="1" applyAlignment="1" applyProtection="1">
      <alignment horizontal="left" vertical="top" shrinkToFit="1"/>
      <protection/>
    </xf>
    <xf numFmtId="0" fontId="0" fillId="0" borderId="11" xfId="0" applyFont="1" applyFill="1" applyBorder="1" applyAlignment="1" applyProtection="1">
      <alignment horizontal="center"/>
      <protection/>
    </xf>
    <xf numFmtId="165" fontId="8" fillId="0" borderId="18" xfId="0" applyNumberFormat="1" applyFont="1" applyFill="1" applyBorder="1" applyAlignment="1" applyProtection="1">
      <alignment horizontal="center" vertical="center"/>
      <protection/>
    </xf>
    <xf numFmtId="165" fontId="8" fillId="0" borderId="27" xfId="0" applyNumberFormat="1" applyFont="1" applyFill="1" applyBorder="1" applyAlignment="1" applyProtection="1">
      <alignment horizontal="center" vertical="center"/>
      <protection/>
    </xf>
    <xf numFmtId="164" fontId="8" fillId="0" borderId="13" xfId="0" applyNumberFormat="1" applyFont="1" applyFill="1" applyBorder="1" applyAlignment="1" applyProtection="1">
      <alignment horizontal="center" vertical="center"/>
      <protection/>
    </xf>
    <xf numFmtId="164" fontId="8" fillId="0" borderId="18" xfId="0" applyNumberFormat="1" applyFont="1" applyFill="1" applyBorder="1" applyAlignment="1" applyProtection="1">
      <alignment horizontal="center" vertical="center"/>
      <protection/>
    </xf>
    <xf numFmtId="164" fontId="8" fillId="0" borderId="27" xfId="0" applyNumberFormat="1" applyFont="1" applyFill="1" applyBorder="1" applyAlignment="1" applyProtection="1">
      <alignment horizontal="center" vertical="center"/>
      <protection/>
    </xf>
    <xf numFmtId="0" fontId="10" fillId="0" borderId="1" xfId="0" applyFont="1" applyFill="1" applyBorder="1" applyAlignment="1" applyProtection="1">
      <alignment horizontal="left" vertical="center"/>
      <protection/>
    </xf>
    <xf numFmtId="164" fontId="10" fillId="0" borderId="4" xfId="0" applyNumberFormat="1" applyFont="1" applyFill="1" applyBorder="1" applyAlignment="1" applyProtection="1">
      <alignment horizontal="left" vertical="center"/>
      <protection/>
    </xf>
    <xf numFmtId="164" fontId="10" fillId="0" borderId="2" xfId="0" applyNumberFormat="1" applyFont="1" applyFill="1" applyBorder="1" applyAlignment="1" applyProtection="1">
      <alignment horizontal="left" vertical="center"/>
      <protection/>
    </xf>
    <xf numFmtId="164" fontId="10" fillId="0" borderId="1" xfId="0" applyNumberFormat="1" applyFont="1" applyFill="1" applyBorder="1" applyAlignment="1" applyProtection="1">
      <alignment horizontal="left" vertical="center"/>
      <protection/>
    </xf>
    <xf numFmtId="0" fontId="8" fillId="2" borderId="4" xfId="0" applyNumberFormat="1" applyFont="1" applyFill="1" applyBorder="1" applyAlignment="1" applyProtection="1">
      <alignment horizontal="center" vertical="center"/>
      <protection/>
    </xf>
    <xf numFmtId="0" fontId="8" fillId="2" borderId="2" xfId="0" applyNumberFormat="1" applyFont="1" applyFill="1" applyBorder="1" applyAlignment="1" applyProtection="1">
      <alignment horizontal="center" vertical="center"/>
      <protection/>
    </xf>
    <xf numFmtId="0" fontId="8" fillId="2" borderId="1"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hidden="1"/>
    </xf>
    <xf numFmtId="0" fontId="0" fillId="0" borderId="28" xfId="0" applyNumberFormat="1" applyFont="1" applyFill="1" applyBorder="1" applyAlignment="1" applyProtection="1">
      <alignment horizontal="center" vertical="center"/>
      <protection hidden="1"/>
    </xf>
    <xf numFmtId="164" fontId="0" fillId="0" borderId="5" xfId="0" applyNumberFormat="1" applyFont="1" applyFill="1" applyBorder="1" applyAlignment="1" applyProtection="1">
      <alignment horizontal="center" vertical="center" wrapText="1"/>
      <protection/>
    </xf>
    <xf numFmtId="164" fontId="0" fillId="0" borderId="23" xfId="0" applyNumberFormat="1" applyFont="1" applyFill="1" applyBorder="1" applyAlignment="1" applyProtection="1">
      <alignment horizontal="center" vertical="center" wrapText="1"/>
      <protection/>
    </xf>
    <xf numFmtId="1" fontId="0" fillId="0" borderId="0" xfId="0" applyNumberFormat="1" applyFont="1" applyFill="1" applyBorder="1" applyAlignment="1">
      <alignment horizontal="right"/>
    </xf>
    <xf numFmtId="0" fontId="0" fillId="2" borderId="4" xfId="0" applyFont="1" applyFill="1" applyBorder="1" applyAlignment="1" applyProtection="1">
      <alignment horizontal="left"/>
      <protection/>
    </xf>
    <xf numFmtId="0" fontId="0" fillId="2" borderId="2" xfId="0" applyFont="1" applyFill="1" applyBorder="1" applyAlignment="1" applyProtection="1">
      <alignment horizontal="left"/>
      <protection/>
    </xf>
    <xf numFmtId="0" fontId="0" fillId="2" borderId="1" xfId="0" applyFont="1" applyFill="1" applyBorder="1" applyAlignment="1" applyProtection="1">
      <alignment horizontal="left"/>
      <protection/>
    </xf>
    <xf numFmtId="0" fontId="8" fillId="2" borderId="4" xfId="0" applyNumberFormat="1" applyFont="1" applyFill="1" applyBorder="1" applyAlignment="1" applyProtection="1">
      <alignment horizontal="left" vertical="center"/>
      <protection/>
    </xf>
    <xf numFmtId="0" fontId="8" fillId="2" borderId="2" xfId="0" applyNumberFormat="1" applyFont="1" applyFill="1" applyBorder="1" applyAlignment="1" applyProtection="1">
      <alignment horizontal="left" vertical="center"/>
      <protection/>
    </xf>
    <xf numFmtId="0" fontId="8" fillId="2" borderId="1" xfId="0" applyNumberFormat="1" applyFont="1" applyFill="1" applyBorder="1" applyAlignment="1" applyProtection="1">
      <alignment horizontal="left" vertical="center"/>
      <protection/>
    </xf>
    <xf numFmtId="1" fontId="0" fillId="0" borderId="0" xfId="0" applyNumberFormat="1" applyFont="1" applyFill="1" applyBorder="1" applyAlignment="1" applyProtection="1">
      <alignment horizontal="right" vertical="center"/>
      <protection locked="0"/>
    </xf>
    <xf numFmtId="0" fontId="0" fillId="0" borderId="0"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0" xfId="0" applyAlignment="1">
      <alignment horizontal="center" vertical="center" wrapText="1"/>
    </xf>
    <xf numFmtId="164" fontId="8" fillId="3" borderId="4" xfId="0" applyNumberFormat="1" applyFont="1" applyFill="1" applyBorder="1" applyAlignment="1" applyProtection="1">
      <alignment horizontal="center" vertical="center"/>
      <protection locked="0"/>
    </xf>
    <xf numFmtId="164" fontId="8" fillId="3" borderId="1" xfId="0" applyNumberFormat="1" applyFont="1" applyFill="1" applyBorder="1" applyAlignment="1" applyProtection="1">
      <alignment horizontal="center" vertical="center"/>
      <protection locked="0"/>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10" fillId="0" borderId="24" xfId="0" applyFont="1" applyBorder="1" applyAlignment="1" applyProtection="1">
      <alignment horizontal="left" vertical="top"/>
      <protection/>
    </xf>
    <xf numFmtId="0" fontId="10" fillId="0" borderId="28" xfId="0" applyFont="1" applyBorder="1" applyAlignment="1" applyProtection="1">
      <alignment horizontal="left" vertical="top"/>
      <protection/>
    </xf>
    <xf numFmtId="0" fontId="10" fillId="0" borderId="25" xfId="0" applyFont="1" applyBorder="1" applyAlignment="1" applyProtection="1">
      <alignment horizontal="left" vertical="top"/>
      <protection/>
    </xf>
    <xf numFmtId="164" fontId="10" fillId="0" borderId="24" xfId="0" applyNumberFormat="1" applyFont="1" applyBorder="1" applyAlignment="1" applyProtection="1">
      <alignment horizontal="left" vertical="center"/>
      <protection/>
    </xf>
    <xf numFmtId="164" fontId="10" fillId="0" borderId="28" xfId="0" applyNumberFormat="1" applyFont="1" applyBorder="1" applyAlignment="1" applyProtection="1">
      <alignment horizontal="left" vertical="center"/>
      <protection/>
    </xf>
    <xf numFmtId="164" fontId="10" fillId="0" borderId="25" xfId="0" applyNumberFormat="1" applyFont="1" applyBorder="1" applyAlignment="1" applyProtection="1">
      <alignment horizontal="left" vertical="center"/>
      <protection/>
    </xf>
    <xf numFmtId="0" fontId="8" fillId="3" borderId="13" xfId="0" applyFont="1" applyFill="1" applyBorder="1" applyAlignment="1" applyProtection="1">
      <alignment horizontal="center" vertical="center"/>
      <protection locked="0"/>
    </xf>
    <xf numFmtId="0" fontId="8" fillId="3" borderId="27" xfId="0" applyFont="1" applyFill="1" applyBorder="1" applyAlignment="1" applyProtection="1">
      <alignment horizontal="center" vertical="center"/>
      <protection locked="0"/>
    </xf>
    <xf numFmtId="164" fontId="16" fillId="0" borderId="13" xfId="0" applyNumberFormat="1" applyFont="1" applyBorder="1" applyAlignment="1" applyProtection="1">
      <alignment horizontal="center" vertical="center"/>
      <protection/>
    </xf>
    <xf numFmtId="164" fontId="16" fillId="0" borderId="27" xfId="0" applyNumberFormat="1" applyFont="1" applyBorder="1" applyAlignment="1" applyProtection="1">
      <alignment horizontal="center" vertical="center"/>
      <protection/>
    </xf>
    <xf numFmtId="1" fontId="8" fillId="3" borderId="27" xfId="0" applyNumberFormat="1" applyFont="1" applyFill="1" applyBorder="1" applyAlignment="1" applyProtection="1">
      <alignment horizontal="center" vertical="center"/>
      <protection locked="0"/>
    </xf>
    <xf numFmtId="165" fontId="17" fillId="0" borderId="13" xfId="0" applyNumberFormat="1" applyFont="1" applyFill="1" applyBorder="1" applyAlignment="1" applyProtection="1">
      <alignment horizontal="center" vertical="center"/>
      <protection locked="0"/>
    </xf>
    <xf numFmtId="165" fontId="17" fillId="0" borderId="18" xfId="0" applyNumberFormat="1" applyFont="1" applyFill="1" applyBorder="1" applyAlignment="1" applyProtection="1">
      <alignment horizontal="center" vertical="center"/>
      <protection locked="0"/>
    </xf>
    <xf numFmtId="165" fontId="17" fillId="0" borderId="27" xfId="0" applyNumberFormat="1" applyFont="1" applyFill="1" applyBorder="1" applyAlignment="1" applyProtection="1">
      <alignment horizontal="center" vertical="center"/>
      <protection locked="0"/>
    </xf>
    <xf numFmtId="164" fontId="16" fillId="0" borderId="18" xfId="0" applyNumberFormat="1" applyFont="1" applyBorder="1" applyAlignment="1" applyProtection="1">
      <alignment horizontal="center" vertical="center"/>
      <protection/>
    </xf>
    <xf numFmtId="164" fontId="8" fillId="0" borderId="4"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16" fillId="0" borderId="4" xfId="0" applyNumberFormat="1" applyFont="1" applyBorder="1" applyAlignment="1">
      <alignment horizontal="center" vertical="center"/>
    </xf>
    <xf numFmtId="164" fontId="16" fillId="0" borderId="1" xfId="0" applyNumberFormat="1" applyFont="1" applyBorder="1" applyAlignment="1">
      <alignment horizontal="center" vertical="center"/>
    </xf>
    <xf numFmtId="164" fontId="8" fillId="0" borderId="17" xfId="0" applyNumberFormat="1" applyFont="1" applyBorder="1" applyAlignment="1">
      <alignment horizontal="center" vertical="center"/>
    </xf>
    <xf numFmtId="164" fontId="8" fillId="0" borderId="16" xfId="0" applyNumberFormat="1" applyFont="1" applyBorder="1" applyAlignment="1">
      <alignment horizontal="center" vertical="center"/>
    </xf>
    <xf numFmtId="0" fontId="12" fillId="0" borderId="4" xfId="0" applyFont="1" applyBorder="1" applyAlignment="1">
      <alignment vertical="center" wrapText="1"/>
    </xf>
    <xf numFmtId="0" fontId="0" fillId="0" borderId="2" xfId="0" applyBorder="1" applyAlignment="1">
      <alignment vertical="center" wrapText="1"/>
    </xf>
    <xf numFmtId="1" fontId="12" fillId="0" borderId="17" xfId="0" applyNumberFormat="1" applyFont="1" applyBorder="1" applyAlignment="1" applyProtection="1">
      <alignment horizontal="center" vertical="center"/>
      <protection locked="0"/>
    </xf>
    <xf numFmtId="1" fontId="12" fillId="0" borderId="16" xfId="0" applyNumberFormat="1" applyFont="1" applyBorder="1" applyAlignment="1" applyProtection="1">
      <alignment horizontal="center" vertical="center"/>
      <protection locked="0"/>
    </xf>
    <xf numFmtId="164" fontId="16" fillId="0" borderId="17" xfId="0" applyNumberFormat="1" applyFont="1" applyBorder="1" applyAlignment="1">
      <alignment horizontal="center" vertical="center"/>
    </xf>
    <xf numFmtId="164" fontId="16" fillId="0" borderId="16" xfId="0" applyNumberFormat="1" applyFont="1" applyBorder="1" applyAlignment="1">
      <alignment horizontal="center" vertical="center"/>
    </xf>
    <xf numFmtId="0" fontId="0" fillId="2" borderId="3" xfId="0" applyFont="1" applyFill="1" applyBorder="1" applyAlignment="1">
      <alignment horizontal="center"/>
    </xf>
    <xf numFmtId="0" fontId="0" fillId="2" borderId="3" xfId="0" applyFill="1" applyBorder="1" applyAlignment="1">
      <alignment horizontal="center"/>
    </xf>
    <xf numFmtId="164" fontId="0" fillId="2" borderId="3" xfId="0" applyNumberFormat="1" applyFont="1" applyFill="1" applyBorder="1" applyAlignment="1" applyProtection="1">
      <alignment horizontal="center" vertical="center"/>
      <protection/>
    </xf>
    <xf numFmtId="0" fontId="0" fillId="3" borderId="3"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2" xfId="0"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1"/>
  <dimension ref="A1:X61"/>
  <sheetViews>
    <sheetView workbookViewId="0" topLeftCell="A1">
      <selection activeCell="B30" sqref="B30"/>
    </sheetView>
  </sheetViews>
  <sheetFormatPr defaultColWidth="9.140625" defaultRowHeight="12.75"/>
  <cols>
    <col min="1" max="1" width="3.00390625" style="242" customWidth="1"/>
    <col min="2" max="2" width="11.28125" style="242" customWidth="1"/>
    <col min="3" max="3" width="12.28125" style="242" customWidth="1"/>
    <col min="4" max="4" width="8.57421875" style="242" customWidth="1"/>
    <col min="5" max="5" width="9.8515625" style="242" customWidth="1"/>
    <col min="6" max="6" width="9.421875" style="242" customWidth="1"/>
    <col min="7" max="7" width="12.28125" style="242" customWidth="1"/>
    <col min="8" max="10" width="8.28125" style="242" customWidth="1"/>
    <col min="11" max="11" width="11.140625" style="242" customWidth="1"/>
    <col min="12" max="13" width="9.57421875" style="242" bestFit="1" customWidth="1"/>
    <col min="14" max="14" width="9.57421875" style="242" hidden="1" customWidth="1"/>
    <col min="15" max="15" width="18.28125" style="242" hidden="1" customWidth="1"/>
    <col min="16" max="16" width="10.140625" style="242" hidden="1" customWidth="1"/>
    <col min="17" max="17" width="6.57421875" style="242" hidden="1" customWidth="1"/>
    <col min="18" max="18" width="10.140625" style="242" hidden="1" customWidth="1"/>
    <col min="19" max="19" width="8.421875" style="242" hidden="1" customWidth="1"/>
    <col min="20" max="20" width="7.8515625" style="242" customWidth="1"/>
    <col min="21" max="21" width="12.140625" style="242" customWidth="1"/>
    <col min="22" max="16384" width="9.140625" style="242" customWidth="1"/>
  </cols>
  <sheetData>
    <row r="1" spans="1:7" s="268" customFormat="1" ht="12.75">
      <c r="A1" s="267"/>
      <c r="B1" s="367" t="s">
        <v>142</v>
      </c>
      <c r="C1" s="367"/>
      <c r="D1" s="367"/>
      <c r="E1" s="367"/>
      <c r="F1" s="367"/>
      <c r="G1" s="367"/>
    </row>
    <row r="2" spans="1:7" ht="8.25" customHeight="1">
      <c r="A2" s="267"/>
      <c r="B2" s="253" t="s">
        <v>110</v>
      </c>
      <c r="C2" s="253" t="s">
        <v>111</v>
      </c>
      <c r="D2" s="370" t="s">
        <v>112</v>
      </c>
      <c r="E2" s="370"/>
      <c r="F2" s="370" t="s">
        <v>113</v>
      </c>
      <c r="G2" s="370"/>
    </row>
    <row r="3" spans="1:7" ht="16.5" customHeight="1">
      <c r="A3" s="269"/>
      <c r="B3" s="313">
        <v>380</v>
      </c>
      <c r="C3" s="231"/>
      <c r="D3" s="368"/>
      <c r="E3" s="369"/>
      <c r="F3" s="371"/>
      <c r="G3" s="342"/>
    </row>
    <row r="4" spans="1:7" ht="8.25" customHeight="1">
      <c r="A4" s="269"/>
      <c r="B4" s="254" t="s">
        <v>114</v>
      </c>
      <c r="C4" s="253" t="s">
        <v>115</v>
      </c>
      <c r="D4" s="253" t="s">
        <v>116</v>
      </c>
      <c r="E4" s="253" t="s">
        <v>117</v>
      </c>
      <c r="F4" s="253"/>
      <c r="G4" s="232"/>
    </row>
    <row r="5" spans="1:24" s="268" customFormat="1" ht="18" customHeight="1">
      <c r="A5" s="270"/>
      <c r="B5" s="314">
        <v>70</v>
      </c>
      <c r="C5" s="233">
        <f>Ceiling_NRT(C7,D5)</f>
        <v>319.58659002809975</v>
      </c>
      <c r="D5" s="316">
        <v>0</v>
      </c>
      <c r="E5" s="351"/>
      <c r="F5" s="352"/>
      <c r="G5" s="197"/>
      <c r="H5" s="242"/>
      <c r="I5" s="159"/>
      <c r="J5" s="160"/>
      <c r="K5" s="161"/>
      <c r="L5" s="161"/>
      <c r="M5" s="161"/>
      <c r="N5" s="161"/>
      <c r="O5" s="162"/>
      <c r="P5" s="165"/>
      <c r="Q5" s="159"/>
      <c r="R5" s="160"/>
      <c r="S5" s="161"/>
      <c r="T5" s="161"/>
      <c r="U5" s="161"/>
      <c r="V5" s="161"/>
      <c r="W5" s="162"/>
      <c r="X5" s="165"/>
    </row>
    <row r="6" spans="1:24" ht="9.75" customHeight="1">
      <c r="A6" s="271"/>
      <c r="B6" s="255" t="s">
        <v>118</v>
      </c>
      <c r="C6" s="255" t="s">
        <v>119</v>
      </c>
      <c r="D6" s="255" t="s">
        <v>120</v>
      </c>
      <c r="E6" s="346" t="s">
        <v>121</v>
      </c>
      <c r="F6" s="346"/>
      <c r="G6" s="198"/>
      <c r="I6" s="163"/>
      <c r="J6" s="164"/>
      <c r="K6" s="164"/>
      <c r="L6" s="164"/>
      <c r="M6" s="164"/>
      <c r="N6" s="164"/>
      <c r="O6" s="234"/>
      <c r="P6" s="235"/>
      <c r="Q6" s="163"/>
      <c r="R6" s="164"/>
      <c r="S6" s="164"/>
      <c r="T6" s="164"/>
      <c r="U6" s="164"/>
      <c r="V6" s="164"/>
      <c r="W6" s="234"/>
      <c r="X6" s="235"/>
    </row>
    <row r="7" spans="1:24" ht="21" customHeight="1">
      <c r="A7" s="272"/>
      <c r="B7" s="315">
        <v>230</v>
      </c>
      <c r="C7" s="236">
        <f>B9-3</f>
        <v>677</v>
      </c>
      <c r="D7" s="317">
        <v>0</v>
      </c>
      <c r="E7" s="353"/>
      <c r="F7" s="354"/>
      <c r="G7" s="199"/>
      <c r="I7" s="166"/>
      <c r="J7" s="167"/>
      <c r="K7" s="167"/>
      <c r="L7" s="167"/>
      <c r="M7" s="167"/>
      <c r="N7" s="167"/>
      <c r="O7" s="384" t="s">
        <v>169</v>
      </c>
      <c r="P7" s="385"/>
      <c r="Q7" s="273" t="s">
        <v>123</v>
      </c>
      <c r="R7" s="274" t="s">
        <v>168</v>
      </c>
      <c r="S7" s="167"/>
      <c r="T7" s="167"/>
      <c r="U7" s="167"/>
      <c r="V7" s="167"/>
      <c r="W7" s="237"/>
      <c r="X7" s="235"/>
    </row>
    <row r="8" spans="1:24" s="269" customFormat="1" ht="8.25" customHeight="1">
      <c r="A8" s="275"/>
      <c r="B8" s="276" t="s">
        <v>122</v>
      </c>
      <c r="C8" s="347" t="s">
        <v>123</v>
      </c>
      <c r="D8" s="348"/>
      <c r="E8" s="277"/>
      <c r="F8" s="277"/>
      <c r="G8" s="277"/>
      <c r="I8" s="168"/>
      <c r="J8" s="164"/>
      <c r="K8" s="164"/>
      <c r="L8" s="164"/>
      <c r="M8" s="164"/>
      <c r="N8" s="164"/>
      <c r="O8" s="278"/>
      <c r="P8" s="279"/>
      <c r="Q8" s="280"/>
      <c r="R8" s="281"/>
      <c r="S8" s="164"/>
      <c r="T8" s="164"/>
      <c r="U8" s="164"/>
      <c r="V8" s="164"/>
      <c r="W8" s="237"/>
      <c r="X8" s="235"/>
    </row>
    <row r="9" spans="1:24" ht="19.5" customHeight="1">
      <c r="A9" s="272"/>
      <c r="B9" s="244">
        <f>SUM(B3,B5,B7)</f>
        <v>680</v>
      </c>
      <c r="C9" s="349">
        <f>R17</f>
        <v>55</v>
      </c>
      <c r="D9" s="350"/>
      <c r="E9" s="282" t="s">
        <v>20</v>
      </c>
      <c r="F9" s="282" t="s">
        <v>21</v>
      </c>
      <c r="G9" s="283" t="s">
        <v>143</v>
      </c>
      <c r="I9" s="381" t="s">
        <v>144</v>
      </c>
      <c r="J9" s="382"/>
      <c r="K9" s="383"/>
      <c r="L9" s="208"/>
      <c r="M9" s="167"/>
      <c r="N9" s="167"/>
      <c r="O9" s="284" t="s">
        <v>141</v>
      </c>
      <c r="P9" s="285" t="s">
        <v>97</v>
      </c>
      <c r="Q9" s="286">
        <v>1</v>
      </c>
      <c r="R9" s="287"/>
      <c r="T9" s="167"/>
      <c r="U9" s="167"/>
      <c r="V9" s="167"/>
      <c r="W9" s="237"/>
      <c r="X9" s="235"/>
    </row>
    <row r="10" spans="1:24" ht="19.5" customHeight="1">
      <c r="A10" s="288">
        <v>1</v>
      </c>
      <c r="B10" s="355" t="s">
        <v>124</v>
      </c>
      <c r="C10" s="356"/>
      <c r="D10" s="191"/>
      <c r="E10" s="155">
        <v>0.3680555555555556</v>
      </c>
      <c r="F10" s="228"/>
      <c r="G10" s="195"/>
      <c r="I10" s="261" t="s">
        <v>145</v>
      </c>
      <c r="J10" s="230"/>
      <c r="K10" s="321">
        <v>4772</v>
      </c>
      <c r="L10" s="169"/>
      <c r="M10" s="167"/>
      <c r="N10" s="167"/>
      <c r="O10" s="284"/>
      <c r="P10" s="285" t="s">
        <v>96</v>
      </c>
      <c r="Q10" s="289"/>
      <c r="R10" s="287"/>
      <c r="S10" s="290"/>
      <c r="T10" s="237"/>
      <c r="U10" s="167"/>
      <c r="V10" s="167"/>
      <c r="W10" s="171"/>
      <c r="X10" s="235"/>
    </row>
    <row r="11" spans="1:24" ht="19.5" customHeight="1">
      <c r="A11" s="291">
        <v>2</v>
      </c>
      <c r="B11" s="365" t="s">
        <v>27</v>
      </c>
      <c r="C11" s="366"/>
      <c r="D11" s="292"/>
      <c r="E11" s="155">
        <v>0</v>
      </c>
      <c r="F11" s="228"/>
      <c r="G11" s="238" t="s">
        <v>173</v>
      </c>
      <c r="I11" s="261" t="s">
        <v>164</v>
      </c>
      <c r="J11" s="230"/>
      <c r="K11" s="321">
        <v>451</v>
      </c>
      <c r="L11" s="169"/>
      <c r="M11" s="167"/>
      <c r="N11" s="167"/>
      <c r="O11" s="284" t="s">
        <v>146</v>
      </c>
      <c r="P11" s="322">
        <f>Endurance(F21,C7)</f>
        <v>9.83984237377999</v>
      </c>
      <c r="Q11" s="289"/>
      <c r="R11" s="287"/>
      <c r="T11" s="169"/>
      <c r="U11" s="167"/>
      <c r="V11" s="167"/>
      <c r="W11" s="171"/>
      <c r="X11" s="235"/>
    </row>
    <row r="12" spans="1:24" ht="19.5" customHeight="1">
      <c r="A12" s="291">
        <v>3</v>
      </c>
      <c r="B12" s="361" t="s">
        <v>28</v>
      </c>
      <c r="C12" s="362"/>
      <c r="D12" s="292"/>
      <c r="E12" s="293">
        <f>SUM(E10,E11)</f>
        <v>0.3680555555555556</v>
      </c>
      <c r="F12" s="228">
        <f>Fuel(R17,(HOUR(E12)+MINUTE(E12)/60),D7,B9)</f>
        <v>206.72691931160523</v>
      </c>
      <c r="G12" s="81">
        <f>C7-F12</f>
        <v>470.27308068839477</v>
      </c>
      <c r="H12" s="294"/>
      <c r="I12" s="262" t="s">
        <v>165</v>
      </c>
      <c r="J12" s="239"/>
      <c r="K12" s="295">
        <f>E10-TIME(TRUNC(P12),(P12-TRUNC(P12))*60,0)</f>
        <v>0.12222222222222223</v>
      </c>
      <c r="L12" s="169"/>
      <c r="M12" s="167"/>
      <c r="N12" s="167"/>
      <c r="O12" s="284" t="s">
        <v>170</v>
      </c>
      <c r="P12" s="296">
        <f>K10/((E27-D27)+(2*K11))</f>
        <v>5.913258983890954</v>
      </c>
      <c r="Q12" s="289"/>
      <c r="R12" s="287"/>
      <c r="T12" s="169"/>
      <c r="U12" s="167"/>
      <c r="V12" s="167"/>
      <c r="W12" s="171"/>
      <c r="X12" s="235"/>
    </row>
    <row r="13" spans="1:24" ht="22.5" customHeight="1">
      <c r="A13" s="291">
        <v>4</v>
      </c>
      <c r="B13" s="361" t="s">
        <v>171</v>
      </c>
      <c r="C13" s="362"/>
      <c r="D13" s="318">
        <v>201</v>
      </c>
      <c r="E13" s="155">
        <v>0.02361111111111111</v>
      </c>
      <c r="F13" s="228">
        <f>Alternate_Fuel(G12,D13)</f>
        <v>12.976769183110532</v>
      </c>
      <c r="G13" s="81">
        <f>G12-F13</f>
        <v>457.2963115052842</v>
      </c>
      <c r="L13" s="169"/>
      <c r="M13" s="167"/>
      <c r="N13" s="167"/>
      <c r="O13" s="284" t="s">
        <v>159</v>
      </c>
      <c r="P13" s="289" t="s">
        <v>160</v>
      </c>
      <c r="Q13" s="289">
        <v>108</v>
      </c>
      <c r="R13" s="287">
        <v>2</v>
      </c>
      <c r="T13" s="169"/>
      <c r="U13" s="167"/>
      <c r="V13" s="167"/>
      <c r="W13" s="171"/>
      <c r="X13" s="235"/>
    </row>
    <row r="14" spans="1:24" ht="19.5" customHeight="1">
      <c r="A14" s="291">
        <v>5</v>
      </c>
      <c r="B14" s="361" t="s">
        <v>31</v>
      </c>
      <c r="C14" s="362"/>
      <c r="D14" s="297"/>
      <c r="E14" s="200" t="str">
        <f>INDEX(P9:P10,Q9)</f>
        <v>+45</v>
      </c>
      <c r="F14" s="240">
        <f>Holding_Fuel(Q9,G13)</f>
        <v>11.432407787632107</v>
      </c>
      <c r="G14" s="238" t="s">
        <v>172</v>
      </c>
      <c r="H14" s="269"/>
      <c r="I14" s="327"/>
      <c r="J14" s="328"/>
      <c r="K14" s="329"/>
      <c r="L14" s="329"/>
      <c r="M14" s="330"/>
      <c r="N14" s="330"/>
      <c r="O14" s="284"/>
      <c r="P14" s="289" t="s">
        <v>161</v>
      </c>
      <c r="Q14" s="289">
        <v>111</v>
      </c>
      <c r="R14" s="287">
        <f>INDEX(Q13:Q14,R13)</f>
        <v>111</v>
      </c>
      <c r="T14" s="241"/>
      <c r="U14" s="237"/>
      <c r="V14" s="167"/>
      <c r="W14" s="171"/>
      <c r="X14" s="235"/>
    </row>
    <row r="15" spans="1:24" ht="19.5" customHeight="1">
      <c r="A15" s="291">
        <v>6</v>
      </c>
      <c r="B15" s="361" t="s">
        <v>33</v>
      </c>
      <c r="C15" s="362"/>
      <c r="D15" s="292"/>
      <c r="E15" s="155">
        <v>0.018055555555555557</v>
      </c>
      <c r="F15" s="157">
        <v>7</v>
      </c>
      <c r="G15" s="386" t="str">
        <f>Alternate_Altitude(D13)</f>
        <v>Cruise 310M 285KCAS .77M 451TAS</v>
      </c>
      <c r="H15" s="269"/>
      <c r="I15" s="263" t="s">
        <v>148</v>
      </c>
      <c r="J15" s="263" t="s">
        <v>149</v>
      </c>
      <c r="K15" s="264" t="s">
        <v>150</v>
      </c>
      <c r="L15" s="265" t="s">
        <v>153</v>
      </c>
      <c r="M15" s="265" t="s">
        <v>174</v>
      </c>
      <c r="N15" s="330"/>
      <c r="O15" s="284" t="s">
        <v>176</v>
      </c>
      <c r="P15" s="289">
        <f>IF(R13=1,10000,25000)</f>
        <v>25000</v>
      </c>
      <c r="Q15" s="289"/>
      <c r="R15" s="287"/>
      <c r="T15" s="169"/>
      <c r="U15" s="167"/>
      <c r="V15" s="167"/>
      <c r="W15" s="171"/>
      <c r="X15" s="235"/>
    </row>
    <row r="16" spans="1:24" ht="19.5" customHeight="1">
      <c r="A16" s="291" t="s">
        <v>125</v>
      </c>
      <c r="B16" s="361" t="s">
        <v>35</v>
      </c>
      <c r="C16" s="362"/>
      <c r="D16" s="292"/>
      <c r="E16" s="200"/>
      <c r="F16" s="157">
        <v>0</v>
      </c>
      <c r="G16" s="387"/>
      <c r="H16" s="269"/>
      <c r="I16" s="228">
        <f>(HOUR(E10)+MINUTE(E10)/60)-P12</f>
        <v>2.9200743494423795</v>
      </c>
      <c r="J16" s="298">
        <f>D27</f>
        <v>146</v>
      </c>
      <c r="K16" s="299">
        <f>K11+D27</f>
        <v>597</v>
      </c>
      <c r="L16" s="300">
        <f>K16*I16</f>
        <v>1743.2843866171006</v>
      </c>
      <c r="M16" s="334">
        <v>10</v>
      </c>
      <c r="N16" s="331"/>
      <c r="O16" s="284" t="s">
        <v>21</v>
      </c>
      <c r="P16" s="289" t="s">
        <v>101</v>
      </c>
      <c r="Q16" s="289">
        <v>51</v>
      </c>
      <c r="R16" s="287">
        <v>4</v>
      </c>
      <c r="T16" s="172"/>
      <c r="U16" s="167"/>
      <c r="V16" s="167"/>
      <c r="W16" s="171"/>
      <c r="X16" s="235"/>
    </row>
    <row r="17" spans="1:24" ht="19.5" customHeight="1">
      <c r="A17" s="291" t="s">
        <v>126</v>
      </c>
      <c r="B17" s="361" t="s">
        <v>43</v>
      </c>
      <c r="C17" s="362"/>
      <c r="D17" s="292"/>
      <c r="E17" s="200"/>
      <c r="F17" s="157">
        <v>0</v>
      </c>
      <c r="G17" s="387"/>
      <c r="H17" s="269"/>
      <c r="I17" s="263" t="s">
        <v>151</v>
      </c>
      <c r="J17" s="266" t="s">
        <v>152</v>
      </c>
      <c r="K17" s="266" t="s">
        <v>156</v>
      </c>
      <c r="L17" s="264" t="s">
        <v>158</v>
      </c>
      <c r="M17" s="266" t="s">
        <v>175</v>
      </c>
      <c r="N17" s="331"/>
      <c r="O17" s="284"/>
      <c r="P17" s="289" t="s">
        <v>102</v>
      </c>
      <c r="Q17" s="289">
        <v>54</v>
      </c>
      <c r="R17" s="301">
        <f>INDEX(Q16:Q24,R16)</f>
        <v>55</v>
      </c>
      <c r="T17" s="172"/>
      <c r="U17" s="167"/>
      <c r="V17" s="167"/>
      <c r="W17" s="171"/>
      <c r="X17" s="235"/>
    </row>
    <row r="18" spans="1:24" ht="19.5" customHeight="1">
      <c r="A18" s="291">
        <v>8</v>
      </c>
      <c r="B18" s="361" t="s">
        <v>127</v>
      </c>
      <c r="C18" s="362"/>
      <c r="D18" s="292"/>
      <c r="E18" s="200"/>
      <c r="F18" s="240">
        <f>SUM(F12:F17)</f>
        <v>238.13609628234786</v>
      </c>
      <c r="G18" s="387"/>
      <c r="H18" s="269"/>
      <c r="I18" s="298">
        <f>Fuel(R17,I16,D7,C7)</f>
        <v>71.6941745227903</v>
      </c>
      <c r="J18" s="298">
        <f>C7-I18</f>
        <v>605.3058254772097</v>
      </c>
      <c r="K18" s="298">
        <f>(J18+(B3+B5+35))/2</f>
        <v>545.1529127386049</v>
      </c>
      <c r="L18" s="300">
        <f>D7</f>
        <v>0</v>
      </c>
      <c r="M18" s="334">
        <v>73</v>
      </c>
      <c r="N18" s="330"/>
      <c r="O18" s="284"/>
      <c r="P18" s="289" t="s">
        <v>103</v>
      </c>
      <c r="Q18" s="289">
        <v>55</v>
      </c>
      <c r="R18" s="287"/>
      <c r="T18" s="172"/>
      <c r="U18" s="167"/>
      <c r="V18" s="167"/>
      <c r="W18" s="171"/>
      <c r="X18" s="235"/>
    </row>
    <row r="19" spans="1:24" ht="19.5" customHeight="1">
      <c r="A19" s="291">
        <v>9</v>
      </c>
      <c r="B19" s="361" t="s">
        <v>128</v>
      </c>
      <c r="C19" s="362"/>
      <c r="D19" s="292"/>
      <c r="E19" s="200"/>
      <c r="F19" s="157">
        <v>3</v>
      </c>
      <c r="G19" s="193"/>
      <c r="H19" s="269"/>
      <c r="I19" s="266" t="s">
        <v>155</v>
      </c>
      <c r="J19" s="263" t="s">
        <v>166</v>
      </c>
      <c r="K19" s="264" t="s">
        <v>154</v>
      </c>
      <c r="L19" s="264" t="s">
        <v>157</v>
      </c>
      <c r="M19" s="265" t="s">
        <v>177</v>
      </c>
      <c r="N19" s="330"/>
      <c r="O19" s="284"/>
      <c r="P19" s="289" t="s">
        <v>104</v>
      </c>
      <c r="Q19" s="289">
        <v>55</v>
      </c>
      <c r="R19" s="287"/>
      <c r="T19" s="172"/>
      <c r="U19" s="167"/>
      <c r="V19" s="167"/>
      <c r="W19" s="171"/>
      <c r="X19" s="235"/>
    </row>
    <row r="20" spans="1:24" ht="19.5" customHeight="1">
      <c r="A20" s="291">
        <v>10</v>
      </c>
      <c r="B20" s="361" t="s">
        <v>129</v>
      </c>
      <c r="C20" s="362"/>
      <c r="D20" s="292"/>
      <c r="E20" s="200"/>
      <c r="F20" s="240">
        <f>SUM(F18:F19)</f>
        <v>241.13609628234786</v>
      </c>
      <c r="G20" s="193"/>
      <c r="H20" s="269"/>
      <c r="I20" s="298">
        <f>K10-L16</f>
        <v>3028.7156133828994</v>
      </c>
      <c r="J20" s="333">
        <v>30</v>
      </c>
      <c r="K20" s="300">
        <f>Emer_Depress_Speed(R14,D7,K18)+J20</f>
        <v>414.6344476464391</v>
      </c>
      <c r="L20" s="302">
        <f>I20/K20</f>
        <v>7.304544112469643</v>
      </c>
      <c r="M20" s="332">
        <f>(Oxygen_Crew_100(M16,P15)+Oxygen_Passengers_Normal(M18,P15))*L20</f>
        <v>108.3835229123423</v>
      </c>
      <c r="N20" s="330"/>
      <c r="O20" s="284"/>
      <c r="P20" s="289" t="s">
        <v>147</v>
      </c>
      <c r="Q20" s="289">
        <v>59</v>
      </c>
      <c r="R20" s="287"/>
      <c r="T20" s="172"/>
      <c r="U20" s="167"/>
      <c r="V20" s="167"/>
      <c r="W20" s="171"/>
      <c r="X20" s="235"/>
    </row>
    <row r="21" spans="1:24" ht="18" customHeight="1">
      <c r="A21" s="291">
        <v>11</v>
      </c>
      <c r="B21" s="361" t="s">
        <v>47</v>
      </c>
      <c r="C21" s="362"/>
      <c r="D21" s="292"/>
      <c r="E21" s="200"/>
      <c r="F21" s="240">
        <f>B7</f>
        <v>230</v>
      </c>
      <c r="G21" s="193"/>
      <c r="H21" s="269"/>
      <c r="I21" s="392" t="s">
        <v>163</v>
      </c>
      <c r="J21" s="393"/>
      <c r="K21" s="393"/>
      <c r="L21" s="394"/>
      <c r="M21" s="303">
        <f>Emer_Depress_Fuel(R14,L20,L18,K18)</f>
        <v>124.38980463667733</v>
      </c>
      <c r="N21" s="330"/>
      <c r="O21" s="284"/>
      <c r="P21" s="289" t="s">
        <v>105</v>
      </c>
      <c r="Q21" s="289">
        <v>45</v>
      </c>
      <c r="R21" s="287"/>
      <c r="T21" s="172"/>
      <c r="U21" s="167"/>
      <c r="V21" s="167"/>
      <c r="W21" s="171"/>
      <c r="X21" s="235"/>
    </row>
    <row r="22" spans="1:24" ht="19.5" customHeight="1">
      <c r="A22" s="291">
        <v>12</v>
      </c>
      <c r="B22" s="361" t="s">
        <v>130</v>
      </c>
      <c r="C22" s="362"/>
      <c r="D22" s="292"/>
      <c r="E22" s="200"/>
      <c r="F22" s="240">
        <f>F21-F20</f>
        <v>-11.136096282347864</v>
      </c>
      <c r="G22" s="193"/>
      <c r="H22" s="269"/>
      <c r="I22" s="389" t="s">
        <v>162</v>
      </c>
      <c r="J22" s="390"/>
      <c r="K22" s="390"/>
      <c r="L22" s="391"/>
      <c r="M22" s="304">
        <f>B7-3-I18</f>
        <v>155.30582547720968</v>
      </c>
      <c r="N22" s="330"/>
      <c r="O22" s="284"/>
      <c r="P22" s="289" t="s">
        <v>106</v>
      </c>
      <c r="Q22" s="289">
        <v>46</v>
      </c>
      <c r="R22" s="287"/>
      <c r="T22" s="172"/>
      <c r="U22" s="167"/>
      <c r="V22" s="167"/>
      <c r="W22" s="171"/>
      <c r="X22" s="235"/>
    </row>
    <row r="23" spans="1:24" ht="19.5" customHeight="1">
      <c r="A23" s="291">
        <v>13</v>
      </c>
      <c r="B23" s="363" t="s">
        <v>131</v>
      </c>
      <c r="C23" s="364"/>
      <c r="D23" s="305"/>
      <c r="E23" s="306"/>
      <c r="F23" s="240">
        <f>SUM(F13:F15)</f>
        <v>31.40917697074264</v>
      </c>
      <c r="G23" s="201"/>
      <c r="H23" s="269"/>
      <c r="I23" s="269"/>
      <c r="J23" s="269"/>
      <c r="K23" s="269"/>
      <c r="L23" s="269"/>
      <c r="M23" s="269"/>
      <c r="N23" s="330"/>
      <c r="O23" s="284"/>
      <c r="P23" s="289" t="s">
        <v>107</v>
      </c>
      <c r="Q23" s="289">
        <v>47</v>
      </c>
      <c r="R23" s="287"/>
      <c r="T23" s="172"/>
      <c r="U23" s="167"/>
      <c r="V23" s="167"/>
      <c r="W23" s="171"/>
      <c r="X23" s="235"/>
    </row>
    <row r="24" spans="1:24" ht="10.5" customHeight="1">
      <c r="A24" s="202"/>
      <c r="B24" s="357" t="s">
        <v>132</v>
      </c>
      <c r="C24" s="358"/>
      <c r="D24" s="358"/>
      <c r="E24" s="326" t="s">
        <v>133</v>
      </c>
      <c r="F24" s="256" t="s">
        <v>134</v>
      </c>
      <c r="G24" s="196"/>
      <c r="K24" s="248"/>
      <c r="O24" s="307"/>
      <c r="P24" s="308" t="s">
        <v>108</v>
      </c>
      <c r="Q24" s="308">
        <v>48</v>
      </c>
      <c r="R24" s="309"/>
      <c r="T24" s="173"/>
      <c r="U24" s="170"/>
      <c r="V24" s="170"/>
      <c r="W24" s="174"/>
      <c r="X24" s="235"/>
    </row>
    <row r="25" spans="1:24" ht="19.5" customHeight="1">
      <c r="A25" s="203"/>
      <c r="B25" s="359"/>
      <c r="C25" s="360"/>
      <c r="D25" s="360"/>
      <c r="E25" s="243">
        <f>TIME(TRUNC(P11),(P11-TRUNC(P11))*60,0)</f>
        <v>0.40972222222222227</v>
      </c>
      <c r="F25" s="236">
        <f>SUM(F12,F15,F16)</f>
        <v>213.72691931160523</v>
      </c>
      <c r="G25" s="193"/>
      <c r="T25" s="167"/>
      <c r="U25" s="167"/>
      <c r="V25" s="167"/>
      <c r="W25" s="175"/>
      <c r="X25" s="235"/>
    </row>
    <row r="26" spans="1:24" ht="7.5" customHeight="1">
      <c r="A26" s="204"/>
      <c r="B26" s="323" t="s">
        <v>135</v>
      </c>
      <c r="C26" s="324"/>
      <c r="D26" s="325" t="s">
        <v>136</v>
      </c>
      <c r="E26" s="325" t="s">
        <v>137</v>
      </c>
      <c r="F26" s="325" t="s">
        <v>138</v>
      </c>
      <c r="G26" s="205"/>
      <c r="T26" s="176"/>
      <c r="U26" s="177"/>
      <c r="V26" s="176"/>
      <c r="W26" s="237"/>
      <c r="X26" s="235"/>
    </row>
    <row r="27" spans="1:24" ht="19.5" customHeight="1">
      <c r="A27" s="204"/>
      <c r="B27" s="343">
        <v>79</v>
      </c>
      <c r="C27" s="340"/>
      <c r="D27" s="154">
        <v>146</v>
      </c>
      <c r="E27" s="320">
        <v>51</v>
      </c>
      <c r="F27" s="244">
        <f>B7-F25</f>
        <v>16.27308068839477</v>
      </c>
      <c r="G27" s="192"/>
      <c r="T27" s="176"/>
      <c r="U27" s="178"/>
      <c r="V27" s="176"/>
      <c r="W27" s="237"/>
      <c r="X27" s="235"/>
    </row>
    <row r="28" spans="1:24" ht="7.5" customHeight="1">
      <c r="A28" s="204"/>
      <c r="B28" s="357" t="s">
        <v>139</v>
      </c>
      <c r="C28" s="358"/>
      <c r="D28" s="377"/>
      <c r="E28" s="378" t="s">
        <v>140</v>
      </c>
      <c r="F28" s="379"/>
      <c r="G28" s="380"/>
      <c r="T28" s="176"/>
      <c r="U28" s="177"/>
      <c r="V28" s="176"/>
      <c r="W28" s="237"/>
      <c r="X28" s="235"/>
    </row>
    <row r="29" spans="1:24" ht="19.5" customHeight="1">
      <c r="A29" s="204"/>
      <c r="B29" s="341">
        <f>IF(E12,E10-TIME(TRUNC(P12),(P12-TRUNC(P12))*60,0),0)</f>
        <v>0.12222222222222223</v>
      </c>
      <c r="C29" s="372"/>
      <c r="D29" s="373"/>
      <c r="E29" s="374"/>
      <c r="F29" s="375"/>
      <c r="G29" s="376"/>
      <c r="T29" s="176"/>
      <c r="U29" s="177"/>
      <c r="V29" s="176"/>
      <c r="W29" s="237"/>
      <c r="X29" s="235"/>
    </row>
    <row r="30" spans="1:24" s="269" customFormat="1" ht="20.25" customHeight="1">
      <c r="A30" s="204"/>
      <c r="B30" s="184" t="s">
        <v>167</v>
      </c>
      <c r="C30" s="185"/>
      <c r="D30" s="186"/>
      <c r="E30" s="187"/>
      <c r="F30" s="188"/>
      <c r="G30" s="189"/>
      <c r="O30" s="269">
        <f>APN_Flexible('ACN Rigid &amp; Flexible Pavement'!$A$4,1,'ACN Rigid &amp; Flexible Pavement'!$B$4)</f>
        <v>40.353587099999984</v>
      </c>
      <c r="P30" s="269">
        <f>APN_Flexible('ACN Rigid &amp; Flexible Pavement'!$A$4,1,'ACN Rigid &amp; Flexible Pavement'!$B$4)</f>
        <v>40.353587099999984</v>
      </c>
      <c r="Q30" s="269">
        <f>APN_Flexible('ACN Rigid &amp; Flexible Pavement'!$A$4,1,'ACN Rigid &amp; Flexible Pavement'!$B$4)</f>
        <v>40.353587099999984</v>
      </c>
      <c r="R30" s="269">
        <f>APN_Flexible('ACN Rigid &amp; Flexible Pavement'!$A$4,1,'ACN Rigid &amp; Flexible Pavement'!$B$4)</f>
        <v>40.353587099999984</v>
      </c>
      <c r="S30" s="176"/>
      <c r="T30" s="176"/>
      <c r="U30" s="176"/>
      <c r="V30" s="176"/>
      <c r="W30" s="237"/>
      <c r="X30" s="235"/>
    </row>
    <row r="31" spans="1:24" s="269" customFormat="1" ht="22.5" customHeight="1">
      <c r="A31" s="222"/>
      <c r="B31" s="257"/>
      <c r="C31" s="258"/>
      <c r="D31" s="259"/>
      <c r="E31" s="260"/>
      <c r="F31" s="127"/>
      <c r="G31" s="223"/>
      <c r="H31" s="310"/>
      <c r="I31" s="310"/>
      <c r="Q31" s="176"/>
      <c r="R31" s="172"/>
      <c r="S31" s="176"/>
      <c r="T31" s="176"/>
      <c r="U31" s="176"/>
      <c r="V31" s="176"/>
      <c r="W31" s="237"/>
      <c r="X31" s="235"/>
    </row>
    <row r="32" spans="1:24" ht="15" customHeight="1">
      <c r="A32" s="183"/>
      <c r="L32" s="167"/>
      <c r="Q32" s="245"/>
      <c r="R32" s="180"/>
      <c r="S32" s="181"/>
      <c r="T32" s="179"/>
      <c r="U32" s="246"/>
      <c r="V32" s="176"/>
      <c r="W32" s="246"/>
      <c r="X32" s="235"/>
    </row>
    <row r="33" spans="1:24" ht="15" customHeight="1">
      <c r="A33" s="183"/>
      <c r="G33" s="247"/>
      <c r="L33" s="167"/>
      <c r="Q33" s="245"/>
      <c r="R33" s="180"/>
      <c r="S33" s="181"/>
      <c r="T33" s="179"/>
      <c r="U33" s="246"/>
      <c r="V33" s="176"/>
      <c r="W33" s="246"/>
      <c r="X33" s="235"/>
    </row>
    <row r="34" spans="1:24" ht="15" customHeight="1">
      <c r="A34" s="183"/>
      <c r="B34" s="224"/>
      <c r="C34" s="224"/>
      <c r="D34" s="224"/>
      <c r="E34" s="224"/>
      <c r="F34" s="182"/>
      <c r="G34" s="395"/>
      <c r="H34" s="395"/>
      <c r="I34" s="395"/>
      <c r="L34" s="167"/>
      <c r="Q34" s="245"/>
      <c r="R34" s="180"/>
      <c r="S34" s="181"/>
      <c r="T34" s="179"/>
      <c r="U34" s="246"/>
      <c r="V34" s="176"/>
      <c r="W34" s="246"/>
      <c r="X34" s="235"/>
    </row>
    <row r="35" spans="1:24" ht="12.75">
      <c r="A35" s="247"/>
      <c r="B35" s="247"/>
      <c r="C35" s="247"/>
      <c r="D35" s="247"/>
      <c r="E35" s="247"/>
      <c r="F35" s="247"/>
      <c r="G35" s="247"/>
      <c r="H35" s="248"/>
      <c r="I35" s="235"/>
      <c r="J35" s="235"/>
      <c r="K35" s="235"/>
      <c r="L35" s="235"/>
      <c r="M35" s="248"/>
      <c r="N35" s="248"/>
      <c r="O35" s="248"/>
      <c r="P35" s="248"/>
      <c r="Q35" s="235"/>
      <c r="R35" s="235"/>
      <c r="S35" s="235"/>
      <c r="T35" s="235"/>
      <c r="U35" s="235"/>
      <c r="V35" s="235"/>
      <c r="W35" s="235"/>
      <c r="X35" s="235"/>
    </row>
    <row r="36" spans="2:24" ht="12.75">
      <c r="B36" s="248"/>
      <c r="C36" s="247"/>
      <c r="D36" s="248"/>
      <c r="E36" s="248"/>
      <c r="F36" s="248"/>
      <c r="G36" s="248"/>
      <c r="I36" s="235"/>
      <c r="J36" s="235"/>
      <c r="K36" s="235"/>
      <c r="L36" s="235"/>
      <c r="M36" s="235"/>
      <c r="N36" s="235"/>
      <c r="O36" s="235"/>
      <c r="P36" s="249"/>
      <c r="Q36" s="235"/>
      <c r="R36" s="235"/>
      <c r="S36" s="235"/>
      <c r="T36" s="235"/>
      <c r="U36" s="235"/>
      <c r="V36" s="235"/>
      <c r="W36" s="235"/>
      <c r="X36" s="235"/>
    </row>
    <row r="37" spans="2:24" ht="13.5" customHeight="1">
      <c r="B37" s="248"/>
      <c r="C37" s="250"/>
      <c r="D37" s="251"/>
      <c r="E37" s="250"/>
      <c r="F37" s="396"/>
      <c r="G37" s="396"/>
      <c r="I37" s="235"/>
      <c r="J37" s="235"/>
      <c r="K37" s="252"/>
      <c r="L37" s="252"/>
      <c r="M37" s="252"/>
      <c r="N37" s="234"/>
      <c r="O37" s="234"/>
      <c r="P37" s="235"/>
      <c r="Q37" s="235"/>
      <c r="R37" s="235"/>
      <c r="S37" s="235"/>
      <c r="T37" s="235"/>
      <c r="U37" s="235"/>
      <c r="V37" s="235"/>
      <c r="W37" s="235"/>
      <c r="X37" s="235"/>
    </row>
    <row r="38" spans="7:24" ht="12.75">
      <c r="G38" s="248"/>
      <c r="I38" s="235"/>
      <c r="J38" s="235"/>
      <c r="K38" s="252"/>
      <c r="L38" s="252"/>
      <c r="M38" s="235"/>
      <c r="N38" s="235"/>
      <c r="O38" s="235"/>
      <c r="P38" s="235"/>
      <c r="Q38" s="235"/>
      <c r="R38" s="235"/>
      <c r="S38" s="235"/>
      <c r="T38" s="235"/>
      <c r="U38" s="235"/>
      <c r="V38" s="235"/>
      <c r="W38" s="235"/>
      <c r="X38" s="235"/>
    </row>
    <row r="39" spans="13:16" ht="12.75">
      <c r="M39" s="248"/>
      <c r="N39" s="248"/>
      <c r="O39" s="248"/>
      <c r="P39" s="248"/>
    </row>
    <row r="40" spans="13:16" ht="12.75">
      <c r="M40" s="248"/>
      <c r="N40" s="248"/>
      <c r="O40" s="248"/>
      <c r="P40" s="248"/>
    </row>
    <row r="41" spans="11:19" ht="12.75">
      <c r="K41" s="311"/>
      <c r="M41" s="248"/>
      <c r="N41" s="248"/>
      <c r="O41" s="248"/>
      <c r="P41" s="248"/>
      <c r="S41" s="311"/>
    </row>
    <row r="42" spans="13:16" ht="12.75">
      <c r="M42" s="248"/>
      <c r="N42" s="248"/>
      <c r="O42" s="248"/>
      <c r="P42" s="248"/>
    </row>
    <row r="43" spans="13:16" ht="12.75">
      <c r="M43" s="248"/>
      <c r="N43" s="248"/>
      <c r="O43" s="248"/>
      <c r="P43" s="248"/>
    </row>
    <row r="44" spans="11:19" ht="12.75">
      <c r="K44" s="312"/>
      <c r="M44" s="248"/>
      <c r="N44" s="248"/>
      <c r="O44" s="248"/>
      <c r="P44" s="248"/>
      <c r="S44" s="312"/>
    </row>
    <row r="45" spans="13:16" ht="12.75">
      <c r="M45" s="248"/>
      <c r="N45" s="248"/>
      <c r="O45" s="248"/>
      <c r="P45" s="248"/>
    </row>
    <row r="46" spans="13:16" ht="12.75">
      <c r="M46" s="248"/>
      <c r="N46" s="248"/>
      <c r="O46" s="248"/>
      <c r="P46" s="248"/>
    </row>
    <row r="47" spans="13:16" ht="12.75">
      <c r="M47" s="248"/>
      <c r="N47" s="248"/>
      <c r="O47" s="248"/>
      <c r="P47" s="248"/>
    </row>
    <row r="48" spans="13:16" ht="12.75">
      <c r="M48" s="248"/>
      <c r="N48" s="248"/>
      <c r="O48" s="248"/>
      <c r="P48" s="248"/>
    </row>
    <row r="49" spans="13:16" ht="12.75">
      <c r="M49" s="248"/>
      <c r="N49" s="248"/>
      <c r="O49" s="248"/>
      <c r="P49" s="248"/>
    </row>
    <row r="50" spans="13:16" ht="12.75">
      <c r="M50" s="248"/>
      <c r="N50" s="248"/>
      <c r="O50" s="248"/>
      <c r="P50" s="248"/>
    </row>
    <row r="51" spans="13:16" ht="13.5" customHeight="1">
      <c r="M51" s="248"/>
      <c r="N51" s="248"/>
      <c r="O51" s="248"/>
      <c r="P51" s="248"/>
    </row>
    <row r="52" spans="13:16" ht="12.75">
      <c r="M52" s="248"/>
      <c r="N52" s="248"/>
      <c r="O52" s="248"/>
      <c r="P52" s="248"/>
    </row>
    <row r="53" spans="13:16" ht="12.75">
      <c r="M53" s="248"/>
      <c r="N53" s="248"/>
      <c r="O53" s="248"/>
      <c r="P53" s="248"/>
    </row>
    <row r="54" spans="13:16" ht="12.75">
      <c r="M54" s="248"/>
      <c r="N54" s="248"/>
      <c r="O54" s="248"/>
      <c r="P54" s="248"/>
    </row>
    <row r="55" spans="13:16" ht="12.75">
      <c r="M55" s="248"/>
      <c r="N55" s="248"/>
      <c r="O55" s="248"/>
      <c r="P55" s="248"/>
    </row>
    <row r="56" spans="13:16" ht="12.75">
      <c r="M56" s="248"/>
      <c r="N56" s="248"/>
      <c r="O56" s="248"/>
      <c r="P56" s="248"/>
    </row>
    <row r="57" spans="13:16" ht="12.75">
      <c r="M57" s="248"/>
      <c r="N57" s="248"/>
      <c r="O57" s="248"/>
      <c r="P57" s="248"/>
    </row>
    <row r="58" spans="13:16" ht="12.75">
      <c r="M58" s="248"/>
      <c r="N58" s="248"/>
      <c r="O58" s="248"/>
      <c r="P58" s="248"/>
    </row>
    <row r="59" spans="13:16" ht="12.75">
      <c r="M59" s="388"/>
      <c r="N59" s="388"/>
      <c r="O59" s="388"/>
      <c r="P59" s="248"/>
    </row>
    <row r="60" spans="13:16" ht="12.75">
      <c r="M60" s="248"/>
      <c r="N60" s="248"/>
      <c r="O60" s="248"/>
      <c r="P60" s="248"/>
    </row>
    <row r="61" spans="13:16" ht="12.75">
      <c r="M61" s="248"/>
      <c r="N61" s="248"/>
      <c r="O61" s="248"/>
      <c r="P61" s="248"/>
    </row>
  </sheetData>
  <mergeCells count="39">
    <mergeCell ref="I9:K9"/>
    <mergeCell ref="O7:P7"/>
    <mergeCell ref="G15:G18"/>
    <mergeCell ref="M59:O59"/>
    <mergeCell ref="I22:L22"/>
    <mergeCell ref="I21:L21"/>
    <mergeCell ref="G34:I34"/>
    <mergeCell ref="F37:G37"/>
    <mergeCell ref="B27:C27"/>
    <mergeCell ref="B29:D29"/>
    <mergeCell ref="E29:G29"/>
    <mergeCell ref="B19:C19"/>
    <mergeCell ref="B28:D28"/>
    <mergeCell ref="E28:G28"/>
    <mergeCell ref="B1:G1"/>
    <mergeCell ref="D3:E3"/>
    <mergeCell ref="D2:E2"/>
    <mergeCell ref="F2:G2"/>
    <mergeCell ref="F3:G3"/>
    <mergeCell ref="B18:C18"/>
    <mergeCell ref="B13:C13"/>
    <mergeCell ref="B11:C11"/>
    <mergeCell ref="B12:C12"/>
    <mergeCell ref="B14:C14"/>
    <mergeCell ref="B10:C10"/>
    <mergeCell ref="B24:D24"/>
    <mergeCell ref="B25:D25"/>
    <mergeCell ref="B20:C20"/>
    <mergeCell ref="B21:C21"/>
    <mergeCell ref="B22:C22"/>
    <mergeCell ref="B23:C23"/>
    <mergeCell ref="B15:C15"/>
    <mergeCell ref="B16:C16"/>
    <mergeCell ref="B17:C17"/>
    <mergeCell ref="E6:F6"/>
    <mergeCell ref="C8:D8"/>
    <mergeCell ref="C9:D9"/>
    <mergeCell ref="E5:F5"/>
    <mergeCell ref="E7:F7"/>
  </mergeCells>
  <printOptions horizontalCentered="1" verticalCentered="1"/>
  <pageMargins left="0.25" right="3.03" top="0.1" bottom="3.25" header="0" footer="0"/>
  <pageSetup horizontalDpi="360" verticalDpi="360" orientation="portrait" pageOrder="overThenDown" r:id="rId3"/>
  <headerFooter alignWithMargins="0">
    <oddFooter>&amp;CFor Training Use Only
</oddFooter>
  </headerFooter>
  <legacyDrawing r:id="rId2"/>
</worksheet>
</file>

<file path=xl/worksheets/sheet2.xml><?xml version="1.0" encoding="utf-8"?>
<worksheet xmlns="http://schemas.openxmlformats.org/spreadsheetml/2006/main" xmlns:r="http://schemas.openxmlformats.org/officeDocument/2006/relationships">
  <sheetPr codeName="Sheet113">
    <pageSetUpPr fitToPage="1"/>
  </sheetPr>
  <dimension ref="A1:W66"/>
  <sheetViews>
    <sheetView tabSelected="1" workbookViewId="0" topLeftCell="L1">
      <selection activeCell="U12" sqref="U12"/>
    </sheetView>
  </sheetViews>
  <sheetFormatPr defaultColWidth="9.140625" defaultRowHeight="12.75"/>
  <cols>
    <col min="1" max="1" width="3.00390625" style="0" customWidth="1"/>
    <col min="2" max="2" width="11.28125" style="0" customWidth="1"/>
    <col min="3" max="3" width="8.421875" style="0" customWidth="1"/>
    <col min="4" max="4" width="8.57421875" style="0" customWidth="1"/>
    <col min="6" max="6" width="9.421875" style="0" customWidth="1"/>
    <col min="8" max="8" width="2.57421875" style="0" customWidth="1"/>
    <col min="9" max="9" width="3.00390625" style="0" customWidth="1"/>
    <col min="10" max="10" width="11.140625" style="0" customWidth="1"/>
    <col min="11" max="11" width="9.7109375" style="0" customWidth="1"/>
    <col min="16" max="16" width="2.421875" style="0" customWidth="1"/>
    <col min="17" max="17" width="3.00390625" style="0" customWidth="1"/>
    <col min="18" max="18" width="10.140625" style="0" customWidth="1"/>
    <col min="19" max="19" width="8.421875" style="0" customWidth="1"/>
    <col min="20" max="20" width="7.8515625" style="0" customWidth="1"/>
    <col min="21" max="21" width="12.140625" style="0" customWidth="1"/>
  </cols>
  <sheetData>
    <row r="1" spans="1:23" ht="12.75" customHeight="1">
      <c r="A1" s="67" t="s">
        <v>0</v>
      </c>
      <c r="B1" s="3"/>
      <c r="C1" s="3"/>
      <c r="D1" s="3"/>
      <c r="E1" s="3"/>
      <c r="F1" s="3"/>
      <c r="G1" s="2"/>
      <c r="I1" s="76" t="s">
        <v>1</v>
      </c>
      <c r="J1" s="36" t="s">
        <v>2</v>
      </c>
      <c r="K1" s="3"/>
      <c r="L1" s="3"/>
      <c r="M1" s="3"/>
      <c r="N1" s="3"/>
      <c r="O1" s="2"/>
      <c r="Q1" s="76" t="s">
        <v>1</v>
      </c>
      <c r="R1" s="36" t="s">
        <v>3</v>
      </c>
      <c r="S1" s="3"/>
      <c r="T1" s="3"/>
      <c r="U1" s="3"/>
      <c r="V1" s="3"/>
      <c r="W1" s="2"/>
    </row>
    <row r="2" spans="1:23" s="139" customFormat="1" ht="6.75" customHeight="1">
      <c r="A2" s="99"/>
      <c r="B2" s="401" t="s">
        <v>4</v>
      </c>
      <c r="C2" s="402"/>
      <c r="D2" s="401" t="s">
        <v>5</v>
      </c>
      <c r="E2" s="402"/>
      <c r="F2" s="401" t="s">
        <v>6</v>
      </c>
      <c r="G2" s="402"/>
      <c r="I2" s="100"/>
      <c r="J2" s="98" t="s">
        <v>7</v>
      </c>
      <c r="K2" s="98" t="s">
        <v>8</v>
      </c>
      <c r="L2" s="98" t="s">
        <v>9</v>
      </c>
      <c r="M2" s="98" t="s">
        <v>10</v>
      </c>
      <c r="N2" s="98" t="s">
        <v>11</v>
      </c>
      <c r="O2" s="140"/>
      <c r="Q2" s="100"/>
      <c r="R2" s="98" t="s">
        <v>7</v>
      </c>
      <c r="S2" s="98" t="s">
        <v>8</v>
      </c>
      <c r="T2" s="98" t="s">
        <v>9</v>
      </c>
      <c r="U2" s="98" t="s">
        <v>10</v>
      </c>
      <c r="V2" s="98" t="s">
        <v>11</v>
      </c>
      <c r="W2" s="140"/>
    </row>
    <row r="3" spans="1:23" ht="19.5" customHeight="1">
      <c r="A3" s="54"/>
      <c r="B3" s="409">
        <v>300</v>
      </c>
      <c r="C3" s="410"/>
      <c r="D3" s="411">
        <f>U29</f>
        <v>227</v>
      </c>
      <c r="E3" s="412"/>
      <c r="F3" s="343">
        <v>2</v>
      </c>
      <c r="G3" s="413"/>
      <c r="I3" s="95">
        <v>21</v>
      </c>
      <c r="J3" s="96">
        <f>F29</f>
        <v>594.4447849478643</v>
      </c>
      <c r="K3" s="96" t="s">
        <v>12</v>
      </c>
      <c r="L3" s="96">
        <v>3</v>
      </c>
      <c r="M3" s="96">
        <f>D29-3</f>
        <v>109.44478494786424</v>
      </c>
      <c r="N3" s="154">
        <v>0</v>
      </c>
      <c r="O3" s="102"/>
      <c r="Q3" s="95">
        <v>42</v>
      </c>
      <c r="R3" s="96">
        <f>N29</f>
        <v>594.4447849478643</v>
      </c>
      <c r="S3" s="96" t="s">
        <v>12</v>
      </c>
      <c r="T3" s="96">
        <v>3</v>
      </c>
      <c r="U3" s="96">
        <f>L29-3</f>
        <v>109.44478494786424</v>
      </c>
      <c r="V3" s="154">
        <v>1</v>
      </c>
      <c r="W3" s="102"/>
    </row>
    <row r="4" spans="1:23" s="141" customFormat="1" ht="6.75" customHeight="1">
      <c r="A4" s="118"/>
      <c r="B4" s="403" t="s">
        <v>13</v>
      </c>
      <c r="C4" s="404"/>
      <c r="D4" s="405"/>
      <c r="E4" s="406" t="s">
        <v>14</v>
      </c>
      <c r="F4" s="407"/>
      <c r="G4" s="408"/>
      <c r="I4" s="119"/>
      <c r="J4" s="120" t="s">
        <v>15</v>
      </c>
      <c r="K4" s="120" t="s">
        <v>16</v>
      </c>
      <c r="L4" s="120" t="s">
        <v>17</v>
      </c>
      <c r="M4" s="120" t="s">
        <v>18</v>
      </c>
      <c r="N4" s="121" t="s">
        <v>14</v>
      </c>
      <c r="O4" s="142"/>
      <c r="Q4" s="119"/>
      <c r="R4" s="120" t="s">
        <v>15</v>
      </c>
      <c r="S4" s="120" t="s">
        <v>16</v>
      </c>
      <c r="T4" s="120" t="s">
        <v>17</v>
      </c>
      <c r="U4" s="120" t="s">
        <v>18</v>
      </c>
      <c r="V4" s="121" t="s">
        <v>14</v>
      </c>
      <c r="W4" s="142"/>
    </row>
    <row r="5" spans="1:23" ht="19.5" customHeight="1">
      <c r="A5" s="54"/>
      <c r="B5" s="411">
        <f>W29</f>
        <v>709</v>
      </c>
      <c r="C5" s="417"/>
      <c r="D5" s="412"/>
      <c r="E5" s="414">
        <f>TIME(TRUNC(C36),(C36-TRUNC(C36))*60,0)</f>
        <v>0.3993055555555556</v>
      </c>
      <c r="F5" s="415"/>
      <c r="G5" s="416"/>
      <c r="I5" s="54"/>
      <c r="J5" s="97">
        <f>Ceiling_NRT(L5,N3)</f>
        <v>358.90516612355003</v>
      </c>
      <c r="K5" s="154">
        <v>0</v>
      </c>
      <c r="L5" s="96">
        <f>J3-3</f>
        <v>591.4447849478643</v>
      </c>
      <c r="M5" s="154">
        <v>0</v>
      </c>
      <c r="N5" s="227">
        <f>TIME(TRUNC(K36),(K36-TRUNC(K36))*60,0)</f>
        <v>0.20625000000000002</v>
      </c>
      <c r="O5" s="102"/>
      <c r="Q5" s="54"/>
      <c r="R5" s="97">
        <v>320</v>
      </c>
      <c r="S5" s="154">
        <v>310</v>
      </c>
      <c r="T5" s="101">
        <f>R3-3</f>
        <v>591.4447849478643</v>
      </c>
      <c r="U5" s="154">
        <v>2</v>
      </c>
      <c r="V5" s="227">
        <f>TIME(TRUNC(S36),(S36-TRUNC(S36))*60,0)</f>
        <v>0.20625000000000002</v>
      </c>
      <c r="W5" s="102"/>
    </row>
    <row r="6" spans="1:23" s="1" customFormat="1" ht="10.5" customHeight="1">
      <c r="A6" s="4" t="s">
        <v>1</v>
      </c>
      <c r="B6" s="5" t="s">
        <v>19</v>
      </c>
      <c r="C6" s="6"/>
      <c r="D6" s="7"/>
      <c r="E6" s="40" t="s">
        <v>20</v>
      </c>
      <c r="F6" s="40" t="s">
        <v>21</v>
      </c>
      <c r="G6" s="41" t="s">
        <v>22</v>
      </c>
      <c r="I6" s="77"/>
      <c r="J6" s="5" t="s">
        <v>19</v>
      </c>
      <c r="K6" s="6"/>
      <c r="L6" s="7"/>
      <c r="M6" s="40" t="s">
        <v>20</v>
      </c>
      <c r="N6" s="40" t="s">
        <v>21</v>
      </c>
      <c r="O6" s="41" t="s">
        <v>22</v>
      </c>
      <c r="Q6" s="56"/>
      <c r="R6" s="5" t="s">
        <v>19</v>
      </c>
      <c r="S6" s="6"/>
      <c r="T6" s="7"/>
      <c r="U6" s="40" t="s">
        <v>20</v>
      </c>
      <c r="V6" s="40" t="s">
        <v>21</v>
      </c>
      <c r="W6" s="41" t="s">
        <v>22</v>
      </c>
    </row>
    <row r="7" spans="1:23" ht="19.5" customHeight="1">
      <c r="A7" s="8">
        <v>1</v>
      </c>
      <c r="B7" s="11" t="s">
        <v>23</v>
      </c>
      <c r="C7" s="145" t="s">
        <v>24</v>
      </c>
      <c r="D7" s="220">
        <f>E41</f>
        <v>45</v>
      </c>
      <c r="E7" s="155">
        <v>0.2625</v>
      </c>
      <c r="F7" s="25"/>
      <c r="G7" s="26"/>
      <c r="I7" s="8">
        <v>22</v>
      </c>
      <c r="J7" s="11" t="s">
        <v>25</v>
      </c>
      <c r="K7" s="58" t="s">
        <v>24</v>
      </c>
      <c r="L7" s="220">
        <f>K41</f>
        <v>45</v>
      </c>
      <c r="M7" s="155">
        <v>0</v>
      </c>
      <c r="N7" s="25"/>
      <c r="O7" s="26"/>
      <c r="Q7" s="8">
        <v>43</v>
      </c>
      <c r="R7" s="11" t="s">
        <v>26</v>
      </c>
      <c r="S7" s="58" t="s">
        <v>24</v>
      </c>
      <c r="T7" s="221">
        <f>S41</f>
        <v>46</v>
      </c>
      <c r="U7" s="155">
        <v>0.12013888888888889</v>
      </c>
      <c r="V7" s="25"/>
      <c r="W7" s="26"/>
    </row>
    <row r="8" spans="1:23" ht="19.5" customHeight="1">
      <c r="A8" s="8">
        <v>2</v>
      </c>
      <c r="B8" s="12" t="s">
        <v>27</v>
      </c>
      <c r="C8" s="13"/>
      <c r="D8" s="14"/>
      <c r="E8" s="155">
        <v>0.020833333333333332</v>
      </c>
      <c r="F8" s="25"/>
      <c r="G8" s="26"/>
      <c r="I8" s="8">
        <v>23</v>
      </c>
      <c r="J8" s="12" t="s">
        <v>27</v>
      </c>
      <c r="K8" s="13"/>
      <c r="L8" s="14"/>
      <c r="M8" s="155">
        <v>0</v>
      </c>
      <c r="N8" s="25"/>
      <c r="O8" s="26"/>
      <c r="Q8" s="8">
        <v>44</v>
      </c>
      <c r="R8" s="12" t="s">
        <v>27</v>
      </c>
      <c r="S8" s="13"/>
      <c r="T8" s="14"/>
      <c r="U8" s="155">
        <v>0</v>
      </c>
      <c r="V8" s="25"/>
      <c r="W8" s="26"/>
    </row>
    <row r="9" spans="1:23" ht="19.5" customHeight="1">
      <c r="A9" s="8">
        <v>3</v>
      </c>
      <c r="B9" s="15" t="s">
        <v>28</v>
      </c>
      <c r="C9" s="13"/>
      <c r="D9" s="14"/>
      <c r="E9" s="210">
        <f>SUM(E7,E8)</f>
        <v>0.2833333333333333</v>
      </c>
      <c r="F9" s="211">
        <f>Fuel(E41,(HOUR(E9)+MINUTE(E9)/60),F3,B5)</f>
        <v>164.55521505213576</v>
      </c>
      <c r="G9" s="212">
        <f>B5-F9</f>
        <v>544.4447849478643</v>
      </c>
      <c r="I9" s="8">
        <v>24</v>
      </c>
      <c r="J9" s="15" t="s">
        <v>29</v>
      </c>
      <c r="K9" s="13"/>
      <c r="L9" s="14"/>
      <c r="M9" s="79">
        <f>SUM(M7,M8)</f>
        <v>0</v>
      </c>
      <c r="N9" s="147">
        <f>IF(M9&lt;&gt;0,Fuel(K41,((HOUR(M9)+(MINUTE(M9)-20)/60)),M5,L5),0)</f>
        <v>0</v>
      </c>
      <c r="O9" s="80">
        <f>L5-N9</f>
        <v>591.4447849478643</v>
      </c>
      <c r="Q9" s="8">
        <v>45</v>
      </c>
      <c r="R9" s="15" t="s">
        <v>30</v>
      </c>
      <c r="S9" s="13"/>
      <c r="T9" s="14"/>
      <c r="U9" s="28">
        <f>SUM(U7:U8)</f>
        <v>0.12013888888888889</v>
      </c>
      <c r="V9" s="147">
        <f>IF(U9&lt;&gt;0,Fuel(S41,((HOUR(U9)+(MINUTE(U9)-20)/60)),U5,T5),0)</f>
        <v>57.82512986437182</v>
      </c>
      <c r="W9" s="27">
        <f>T5-V9</f>
        <v>533.6196550834925</v>
      </c>
    </row>
    <row r="10" spans="1:23" ht="19.5" customHeight="1">
      <c r="A10" s="8">
        <v>4</v>
      </c>
      <c r="B10" s="15" t="s">
        <v>100</v>
      </c>
      <c r="C10" s="339">
        <v>661</v>
      </c>
      <c r="D10" s="14"/>
      <c r="E10" s="155">
        <v>0.05833333333333333</v>
      </c>
      <c r="F10" s="211">
        <f>Fuel(E41,((HOUR(E10)+(MINUTE(E10)-20)/60)),F3,G9)+5</f>
        <v>26.1441279780415</v>
      </c>
      <c r="G10" s="213">
        <f>G9-F10</f>
        <v>518.3006569698227</v>
      </c>
      <c r="I10" s="8">
        <v>25</v>
      </c>
      <c r="J10" s="15" t="s">
        <v>9</v>
      </c>
      <c r="K10" s="13"/>
      <c r="L10" s="14"/>
      <c r="M10" s="29"/>
      <c r="N10" s="147">
        <f>IF(M9&lt;&gt;0,3,0)</f>
        <v>0</v>
      </c>
      <c r="O10" s="26"/>
      <c r="Q10" s="8">
        <v>46</v>
      </c>
      <c r="R10" s="15" t="s">
        <v>9</v>
      </c>
      <c r="S10" s="13"/>
      <c r="T10" s="14"/>
      <c r="U10" s="29"/>
      <c r="V10" s="148">
        <v>3</v>
      </c>
      <c r="W10" s="26"/>
    </row>
    <row r="11" spans="1:23" ht="19.5" customHeight="1">
      <c r="A11" s="8">
        <v>5</v>
      </c>
      <c r="B11" s="15" t="s">
        <v>31</v>
      </c>
      <c r="C11" s="20"/>
      <c r="D11" s="14"/>
      <c r="E11" s="190">
        <v>0.03125</v>
      </c>
      <c r="F11" s="214">
        <f>Holding_Fuel(D38,G10)</f>
        <v>12.957516424245568</v>
      </c>
      <c r="G11" s="26"/>
      <c r="I11" s="8">
        <v>26</v>
      </c>
      <c r="J11" s="15" t="s">
        <v>100</v>
      </c>
      <c r="K11" s="339">
        <v>0</v>
      </c>
      <c r="L11" s="14"/>
      <c r="M11" s="155">
        <v>0</v>
      </c>
      <c r="N11" s="147">
        <f>IF(M11&lt;&gt;0,Fuel(K41,((HOUR(E10)+(MINUTE(E10)-20)/60)),M5,O9)+5,0)</f>
        <v>0</v>
      </c>
      <c r="O11" s="81">
        <f>SUM(O9,-N11)</f>
        <v>591.4447849478643</v>
      </c>
      <c r="Q11" s="8">
        <v>47</v>
      </c>
      <c r="R11" s="424" t="s">
        <v>32</v>
      </c>
      <c r="S11" s="425"/>
      <c r="T11" s="338">
        <v>98</v>
      </c>
      <c r="U11" s="156">
        <v>0.43125</v>
      </c>
      <c r="V11" s="147">
        <f>IF(U11&lt;&gt;0,Alternate_Fuel(W9,T11),0)</f>
        <v>6.576928059184263</v>
      </c>
      <c r="W11" s="42">
        <f>SUM(W9,-V11)</f>
        <v>527.0427270243082</v>
      </c>
    </row>
    <row r="12" spans="1:23" ht="19.5" customHeight="1">
      <c r="A12" s="8">
        <v>6</v>
      </c>
      <c r="B12" s="15" t="s">
        <v>33</v>
      </c>
      <c r="C12" s="20"/>
      <c r="D12" s="14"/>
      <c r="E12" s="155">
        <v>0.02152777777777778</v>
      </c>
      <c r="F12" s="207">
        <v>7</v>
      </c>
      <c r="G12" s="26"/>
      <c r="I12" s="8">
        <v>27</v>
      </c>
      <c r="J12" s="15" t="s">
        <v>31</v>
      </c>
      <c r="K12" s="20"/>
      <c r="L12" s="14"/>
      <c r="M12" s="190">
        <v>0.041666666666666664</v>
      </c>
      <c r="N12" s="147">
        <f>IF(M9,Holding_Fuel(K38,O11),0)</f>
        <v>0</v>
      </c>
      <c r="O12" s="26"/>
      <c r="Q12" s="8">
        <v>48</v>
      </c>
      <c r="R12" s="15" t="s">
        <v>31</v>
      </c>
      <c r="S12" s="20"/>
      <c r="T12" s="14"/>
      <c r="U12" s="190">
        <v>0.03125</v>
      </c>
      <c r="V12" s="147">
        <f>IF(U7&lt;&gt;0,Holding_Fuel(S38,W11),0)</f>
        <v>13.176068175607705</v>
      </c>
      <c r="W12" s="26"/>
    </row>
    <row r="13" spans="1:23" ht="19.5" customHeight="1">
      <c r="A13" s="8">
        <v>7</v>
      </c>
      <c r="B13" s="44" t="s">
        <v>34</v>
      </c>
      <c r="C13" s="21"/>
      <c r="D13" s="14"/>
      <c r="E13" s="206">
        <f>SUM(E9:E12)</f>
        <v>0.39444444444444443</v>
      </c>
      <c r="F13" s="207">
        <f>SUM(F9:F12)</f>
        <v>210.65685945442283</v>
      </c>
      <c r="G13" s="26"/>
      <c r="I13" s="8">
        <v>28</v>
      </c>
      <c r="J13" s="15" t="s">
        <v>33</v>
      </c>
      <c r="K13" s="21"/>
      <c r="L13" s="14"/>
      <c r="M13" s="229">
        <v>0</v>
      </c>
      <c r="N13" s="147">
        <f>IF(M13&lt;&gt;0,7,0)</f>
        <v>0</v>
      </c>
      <c r="O13" s="26"/>
      <c r="Q13" s="8">
        <v>49</v>
      </c>
      <c r="R13" s="15" t="s">
        <v>33</v>
      </c>
      <c r="S13" s="43"/>
      <c r="T13" s="19"/>
      <c r="U13" s="155">
        <v>0.02291666666666667</v>
      </c>
      <c r="V13" s="66">
        <v>7</v>
      </c>
      <c r="W13" s="26"/>
    </row>
    <row r="14" spans="1:23" ht="19.5" customHeight="1">
      <c r="A14" s="8">
        <v>8</v>
      </c>
      <c r="B14" s="15" t="s">
        <v>35</v>
      </c>
      <c r="C14" s="20"/>
      <c r="D14" s="14"/>
      <c r="E14" s="29"/>
      <c r="F14" s="157">
        <v>0</v>
      </c>
      <c r="G14" s="26"/>
      <c r="I14" s="8">
        <v>29</v>
      </c>
      <c r="J14" s="44" t="s">
        <v>36</v>
      </c>
      <c r="K14" s="20"/>
      <c r="L14" s="14"/>
      <c r="M14" s="344">
        <f>M9+M11+L38+M13</f>
        <v>0.03125</v>
      </c>
      <c r="N14" s="82">
        <f>N9+N10+N11+N12+N13</f>
        <v>0</v>
      </c>
      <c r="O14" s="26"/>
      <c r="Q14" s="8">
        <v>50</v>
      </c>
      <c r="R14" s="44" t="s">
        <v>37</v>
      </c>
      <c r="S14" s="15"/>
      <c r="T14" s="19"/>
      <c r="U14" s="28">
        <f>SUM(U9:U13)</f>
        <v>0.6055555555555556</v>
      </c>
      <c r="V14" s="24">
        <f>SUM(V9:V13)</f>
        <v>87.5781260991638</v>
      </c>
      <c r="W14" s="26"/>
    </row>
    <row r="15" spans="1:23" ht="19.5" customHeight="1">
      <c r="A15" s="8">
        <v>9</v>
      </c>
      <c r="B15" s="15" t="s">
        <v>38</v>
      </c>
      <c r="C15" s="20"/>
      <c r="D15" s="14"/>
      <c r="E15" s="206">
        <f>E13</f>
        <v>0.39444444444444443</v>
      </c>
      <c r="F15" s="207">
        <f>SUM(F13:F14)</f>
        <v>210.65685945442283</v>
      </c>
      <c r="G15" s="26"/>
      <c r="I15" s="8">
        <v>30</v>
      </c>
      <c r="J15" s="15" t="s">
        <v>35</v>
      </c>
      <c r="K15" s="20"/>
      <c r="L15" s="14"/>
      <c r="M15" s="29"/>
      <c r="N15" s="157">
        <v>0</v>
      </c>
      <c r="O15" s="26"/>
      <c r="Q15" s="8" t="s">
        <v>39</v>
      </c>
      <c r="R15" s="15" t="s">
        <v>35</v>
      </c>
      <c r="S15" s="43"/>
      <c r="T15" s="19"/>
      <c r="U15" s="29"/>
      <c r="V15" s="157">
        <v>0</v>
      </c>
      <c r="W15" s="26"/>
    </row>
    <row r="16" spans="1:23" ht="19.5" customHeight="1">
      <c r="A16" s="8">
        <v>10</v>
      </c>
      <c r="B16" s="15" t="s">
        <v>40</v>
      </c>
      <c r="C16" s="20"/>
      <c r="D16" s="14"/>
      <c r="E16" s="29"/>
      <c r="F16" s="319">
        <v>3</v>
      </c>
      <c r="G16" s="26"/>
      <c r="I16" s="8">
        <v>31</v>
      </c>
      <c r="J16" s="15" t="s">
        <v>41</v>
      </c>
      <c r="K16" s="20"/>
      <c r="L16" s="14"/>
      <c r="M16" s="29"/>
      <c r="N16" s="228">
        <f>SUM(N14:N15)</f>
        <v>0</v>
      </c>
      <c r="O16" s="26"/>
      <c r="Q16" s="8" t="s">
        <v>42</v>
      </c>
      <c r="R16" s="15" t="s">
        <v>43</v>
      </c>
      <c r="S16" s="43"/>
      <c r="T16" s="19"/>
      <c r="U16" s="29"/>
      <c r="V16" s="157">
        <v>0</v>
      </c>
      <c r="W16" s="26"/>
    </row>
    <row r="17" spans="1:23" ht="19.5" customHeight="1">
      <c r="A17" s="8">
        <v>11</v>
      </c>
      <c r="B17" s="15" t="s">
        <v>44</v>
      </c>
      <c r="C17" s="20"/>
      <c r="D17" s="14"/>
      <c r="E17" s="29"/>
      <c r="F17" s="207">
        <f>SUM(F15:F16)</f>
        <v>213.65685945442283</v>
      </c>
      <c r="G17" s="26"/>
      <c r="I17" s="8">
        <v>32</v>
      </c>
      <c r="J17" s="15" t="s">
        <v>45</v>
      </c>
      <c r="K17" s="20"/>
      <c r="L17" s="14"/>
      <c r="M17" s="29"/>
      <c r="N17" s="78">
        <f>IF(M7,D29,0)</f>
        <v>0</v>
      </c>
      <c r="O17" s="26"/>
      <c r="Q17" s="8">
        <v>52</v>
      </c>
      <c r="R17" s="15" t="s">
        <v>46</v>
      </c>
      <c r="S17" s="43"/>
      <c r="T17" s="19"/>
      <c r="U17" s="29"/>
      <c r="V17" s="24">
        <f>SUM(V14:V16)</f>
        <v>87.5781260991638</v>
      </c>
      <c r="W17" s="26"/>
    </row>
    <row r="18" spans="1:23" ht="19.5" customHeight="1">
      <c r="A18" s="8">
        <v>12</v>
      </c>
      <c r="B18" s="15" t="s">
        <v>47</v>
      </c>
      <c r="C18" s="20"/>
      <c r="D18" s="14"/>
      <c r="E18" s="29"/>
      <c r="F18" s="207">
        <f>W26</f>
        <v>230</v>
      </c>
      <c r="G18" s="26"/>
      <c r="I18" s="8">
        <v>33</v>
      </c>
      <c r="J18" s="15" t="s">
        <v>48</v>
      </c>
      <c r="K18" s="20"/>
      <c r="L18" s="14"/>
      <c r="M18" s="29"/>
      <c r="N18" s="24"/>
      <c r="O18" s="26"/>
      <c r="Q18" s="8">
        <v>53</v>
      </c>
      <c r="R18" s="15" t="s">
        <v>49</v>
      </c>
      <c r="S18" s="43"/>
      <c r="T18" s="19"/>
      <c r="U18" s="29"/>
      <c r="V18" s="24">
        <f>IF(L29,L29,D29)</f>
        <v>112.44478494786424</v>
      </c>
      <c r="W18" s="26"/>
    </row>
    <row r="19" spans="1:23" ht="19.5" customHeight="1">
      <c r="A19" s="8">
        <v>13</v>
      </c>
      <c r="B19" s="15" t="s">
        <v>50</v>
      </c>
      <c r="C19" s="20"/>
      <c r="D19" s="14"/>
      <c r="E19" s="29"/>
      <c r="F19" s="207">
        <f>F18-F17</f>
        <v>16.34314054557717</v>
      </c>
      <c r="G19" s="26"/>
      <c r="I19" s="8">
        <v>34</v>
      </c>
      <c r="J19" s="15" t="s">
        <v>51</v>
      </c>
      <c r="K19" s="20"/>
      <c r="L19" s="14"/>
      <c r="M19" s="29"/>
      <c r="N19" s="78">
        <f>SUM(N17,-N16)</f>
        <v>0</v>
      </c>
      <c r="O19" s="26"/>
      <c r="Q19" s="8">
        <v>54</v>
      </c>
      <c r="R19" s="15" t="s">
        <v>48</v>
      </c>
      <c r="S19" s="43"/>
      <c r="T19" s="19"/>
      <c r="U19" s="29"/>
      <c r="V19" s="24"/>
      <c r="W19" s="26"/>
    </row>
    <row r="20" spans="1:23" ht="19.5" customHeight="1">
      <c r="A20" s="8">
        <v>14</v>
      </c>
      <c r="B20" s="44" t="s">
        <v>52</v>
      </c>
      <c r="C20" s="10"/>
      <c r="D20" s="10"/>
      <c r="E20" s="206">
        <f>E10+E38+E12</f>
        <v>0.1111111111111111</v>
      </c>
      <c r="F20" s="207">
        <f>SUM(F10:F12)</f>
        <v>46.101644402287064</v>
      </c>
      <c r="G20" s="26"/>
      <c r="I20" s="8">
        <v>35</v>
      </c>
      <c r="J20" s="44" t="s">
        <v>53</v>
      </c>
      <c r="K20" s="10"/>
      <c r="L20" s="10"/>
      <c r="M20" s="206">
        <f>IF(M9,M11+L38+M13,0)</f>
        <v>0</v>
      </c>
      <c r="N20" s="78">
        <f>SUM(N11:N13)</f>
        <v>0</v>
      </c>
      <c r="O20" s="26"/>
      <c r="Q20" s="8">
        <v>55</v>
      </c>
      <c r="R20" s="44" t="s">
        <v>54</v>
      </c>
      <c r="S20" s="44"/>
      <c r="T20" s="44"/>
      <c r="U20" s="29"/>
      <c r="V20" s="24"/>
      <c r="W20" s="26"/>
    </row>
    <row r="21" spans="1:23" ht="19.5" customHeight="1">
      <c r="A21" s="9">
        <v>15</v>
      </c>
      <c r="B21" s="69" t="s">
        <v>55</v>
      </c>
      <c r="C21" s="345">
        <v>240</v>
      </c>
      <c r="D21" s="16"/>
      <c r="E21" s="69" t="s">
        <v>56</v>
      </c>
      <c r="F21" s="152">
        <v>210</v>
      </c>
      <c r="G21" s="70" t="s">
        <v>57</v>
      </c>
      <c r="I21" s="9">
        <v>36</v>
      </c>
      <c r="J21" s="69" t="s">
        <v>55</v>
      </c>
      <c r="K21" s="345"/>
      <c r="L21" s="16"/>
      <c r="M21" s="69" t="s">
        <v>56</v>
      </c>
      <c r="N21" s="152">
        <v>0</v>
      </c>
      <c r="O21" s="70" t="s">
        <v>58</v>
      </c>
      <c r="Q21" s="8">
        <v>56</v>
      </c>
      <c r="R21" s="45" t="s">
        <v>59</v>
      </c>
      <c r="S21" s="46"/>
      <c r="T21" s="47"/>
      <c r="U21" s="50">
        <f>U11+T38+U13</f>
        <v>0.4854166666666667</v>
      </c>
      <c r="V21" s="49">
        <f>SUM(V11:V13)</f>
        <v>26.75299623479197</v>
      </c>
      <c r="W21" s="38"/>
    </row>
    <row r="22" spans="1:23" ht="19.5" customHeight="1" thickBot="1">
      <c r="A22" s="30"/>
      <c r="B22" s="146" t="s">
        <v>60</v>
      </c>
      <c r="C22" s="35"/>
      <c r="D22" s="153">
        <v>49</v>
      </c>
      <c r="E22" s="216">
        <f>E32</f>
        <v>410</v>
      </c>
      <c r="F22" s="215">
        <f>ROUND(E22*D22/1000,0)</f>
        <v>20</v>
      </c>
      <c r="G22" s="158">
        <v>575</v>
      </c>
      <c r="I22" s="30"/>
      <c r="J22" s="146" t="s">
        <v>60</v>
      </c>
      <c r="K22" s="35"/>
      <c r="L22" s="153">
        <v>0</v>
      </c>
      <c r="M22" s="32">
        <f>M32</f>
        <v>110</v>
      </c>
      <c r="N22" s="33">
        <f>ROUND(M22*L22/1000,0)</f>
        <v>0</v>
      </c>
      <c r="O22" s="158">
        <v>0</v>
      </c>
      <c r="Q22" s="8">
        <v>57</v>
      </c>
      <c r="R22" s="15" t="s">
        <v>61</v>
      </c>
      <c r="S22" s="48"/>
      <c r="T22" s="37"/>
      <c r="U22" s="25"/>
      <c r="V22" s="24">
        <f>V9+V10+V13+V15</f>
        <v>67.82512986437182</v>
      </c>
      <c r="W22" s="39"/>
    </row>
    <row r="23" spans="1:23" ht="15.75" customHeight="1" thickBot="1">
      <c r="A23" s="55"/>
      <c r="B23" s="68" t="s">
        <v>62</v>
      </c>
      <c r="C23" s="22"/>
      <c r="D23" s="68" t="s">
        <v>63</v>
      </c>
      <c r="E23" s="22"/>
      <c r="F23" s="68" t="s">
        <v>64</v>
      </c>
      <c r="G23" s="23"/>
      <c r="I23" s="55"/>
      <c r="J23" s="68" t="s">
        <v>62</v>
      </c>
      <c r="K23" s="22"/>
      <c r="L23" s="68" t="s">
        <v>63</v>
      </c>
      <c r="M23" s="22"/>
      <c r="N23" s="68" t="s">
        <v>64</v>
      </c>
      <c r="O23" s="23"/>
      <c r="Q23" s="110">
        <v>58</v>
      </c>
      <c r="R23" s="111" t="s">
        <v>65</v>
      </c>
      <c r="S23" s="112"/>
      <c r="T23" s="113"/>
      <c r="U23" s="114"/>
      <c r="V23" s="149">
        <f>L29-V22</f>
        <v>44.61965508349242</v>
      </c>
      <c r="W23" s="115"/>
    </row>
    <row r="24" spans="1:23" ht="19.5" customHeight="1">
      <c r="A24" s="89">
        <v>16</v>
      </c>
      <c r="B24" s="71" t="s">
        <v>13</v>
      </c>
      <c r="C24" s="73"/>
      <c r="D24" s="420">
        <f>W26-3</f>
        <v>227</v>
      </c>
      <c r="E24" s="421"/>
      <c r="F24" s="217">
        <f>B5</f>
        <v>709</v>
      </c>
      <c r="G24" s="218"/>
      <c r="I24" s="89">
        <v>37</v>
      </c>
      <c r="J24" s="71" t="s">
        <v>66</v>
      </c>
      <c r="K24" s="73"/>
      <c r="L24" s="418">
        <f>D29</f>
        <v>112.44478494786424</v>
      </c>
      <c r="M24" s="419"/>
      <c r="N24" s="418">
        <f>F29</f>
        <v>594.4447849478643</v>
      </c>
      <c r="O24" s="419"/>
      <c r="Q24" s="57" t="s">
        <v>67</v>
      </c>
      <c r="R24" s="108" t="s">
        <v>186</v>
      </c>
      <c r="S24" s="109"/>
      <c r="T24" s="59" t="s">
        <v>68</v>
      </c>
      <c r="U24" s="116" t="s">
        <v>189</v>
      </c>
      <c r="V24" s="63" t="s">
        <v>69</v>
      </c>
      <c r="W24" s="151">
        <v>380</v>
      </c>
    </row>
    <row r="25" spans="1:23" ht="19.5" customHeight="1">
      <c r="A25" s="89">
        <v>17</v>
      </c>
      <c r="B25" s="71" t="s">
        <v>70</v>
      </c>
      <c r="C25" s="73"/>
      <c r="D25" s="420">
        <f>F9+F14+F22</f>
        <v>184.55521505213576</v>
      </c>
      <c r="E25" s="421"/>
      <c r="F25" s="420">
        <f>F24-D25</f>
        <v>524.4447849478643</v>
      </c>
      <c r="G25" s="421"/>
      <c r="I25" s="89">
        <v>38</v>
      </c>
      <c r="J25" s="72" t="s">
        <v>71</v>
      </c>
      <c r="K25" s="73"/>
      <c r="L25" s="418">
        <f>N9+N10+N15+N22</f>
        <v>0</v>
      </c>
      <c r="M25" s="419"/>
      <c r="N25" s="418">
        <f>N24-L25</f>
        <v>594.4447849478643</v>
      </c>
      <c r="O25" s="419"/>
      <c r="Q25" s="57" t="s">
        <v>72</v>
      </c>
      <c r="R25" s="103"/>
      <c r="S25" s="104" t="s">
        <v>187</v>
      </c>
      <c r="T25" s="64" t="s">
        <v>73</v>
      </c>
      <c r="U25" s="117" t="s">
        <v>191</v>
      </c>
      <c r="V25" s="64" t="s">
        <v>74</v>
      </c>
      <c r="W25" s="151">
        <v>102</v>
      </c>
    </row>
    <row r="26" spans="1:23" ht="19.5" customHeight="1">
      <c r="A26" s="89">
        <v>18</v>
      </c>
      <c r="B26" s="72" t="s">
        <v>75</v>
      </c>
      <c r="C26" s="74"/>
      <c r="D26" s="420">
        <f>D24-D25</f>
        <v>42.444784947864235</v>
      </c>
      <c r="E26" s="421"/>
      <c r="F26" s="17"/>
      <c r="G26" s="18"/>
      <c r="I26" s="89">
        <v>39</v>
      </c>
      <c r="J26" s="72" t="s">
        <v>76</v>
      </c>
      <c r="K26" s="74"/>
      <c r="L26" s="418">
        <f>L24-L25</f>
        <v>112.44478494786424</v>
      </c>
      <c r="M26" s="419"/>
      <c r="N26" s="17"/>
      <c r="O26" s="18"/>
      <c r="Q26" s="57" t="s">
        <v>77</v>
      </c>
      <c r="R26" s="103"/>
      <c r="S26" s="104" t="s">
        <v>193</v>
      </c>
      <c r="T26" s="64" t="s">
        <v>78</v>
      </c>
      <c r="U26" s="116" t="s">
        <v>192</v>
      </c>
      <c r="V26" s="61" t="s">
        <v>79</v>
      </c>
      <c r="W26" s="151">
        <v>230</v>
      </c>
    </row>
    <row r="27" spans="1:23" ht="19.5" customHeight="1">
      <c r="A27" s="89">
        <v>19</v>
      </c>
      <c r="B27" s="71" t="s">
        <v>80</v>
      </c>
      <c r="C27" s="73"/>
      <c r="D27" s="399">
        <v>70</v>
      </c>
      <c r="E27" s="400"/>
      <c r="F27" s="17"/>
      <c r="G27" s="18"/>
      <c r="I27" s="89">
        <v>40</v>
      </c>
      <c r="J27" s="71" t="s">
        <v>80</v>
      </c>
      <c r="K27" s="73"/>
      <c r="L27" s="399">
        <v>0</v>
      </c>
      <c r="M27" s="400"/>
      <c r="N27" s="17"/>
      <c r="O27" s="18"/>
      <c r="Q27" s="57" t="s">
        <v>81</v>
      </c>
      <c r="R27" s="105"/>
      <c r="S27" s="106" t="s">
        <v>188</v>
      </c>
      <c r="T27" s="60" t="s">
        <v>82</v>
      </c>
      <c r="U27" s="116" t="s">
        <v>190</v>
      </c>
      <c r="V27" s="61" t="s">
        <v>83</v>
      </c>
      <c r="W27" s="65">
        <f>SUM(W24,W25,W26)</f>
        <v>712</v>
      </c>
    </row>
    <row r="28" spans="1:23" s="129" customFormat="1" ht="6.75" customHeight="1">
      <c r="A28" s="122"/>
      <c r="B28" s="123"/>
      <c r="C28" s="124"/>
      <c r="D28" s="125"/>
      <c r="E28" s="126"/>
      <c r="F28" s="127" t="s">
        <v>84</v>
      </c>
      <c r="G28" s="128" t="s">
        <v>85</v>
      </c>
      <c r="I28" s="122"/>
      <c r="J28" s="130"/>
      <c r="K28" s="131"/>
      <c r="L28" s="132"/>
      <c r="M28" s="133"/>
      <c r="N28" s="127" t="s">
        <v>84</v>
      </c>
      <c r="O28" s="128" t="s">
        <v>85</v>
      </c>
      <c r="Q28" s="134" t="s">
        <v>86</v>
      </c>
      <c r="R28" s="135"/>
      <c r="S28" s="134" t="s">
        <v>87</v>
      </c>
      <c r="T28" s="136"/>
      <c r="U28" s="134" t="s">
        <v>88</v>
      </c>
      <c r="V28" s="137" t="s">
        <v>89</v>
      </c>
      <c r="W28" s="138"/>
    </row>
    <row r="29" spans="1:23" ht="14.25" customHeight="1" thickBot="1">
      <c r="A29" s="31">
        <v>20</v>
      </c>
      <c r="B29" s="87" t="s">
        <v>90</v>
      </c>
      <c r="C29" s="88"/>
      <c r="D29" s="428">
        <f>D26+D27</f>
        <v>112.44478494786424</v>
      </c>
      <c r="E29" s="429"/>
      <c r="F29" s="219">
        <f>F25+D27</f>
        <v>594.4447849478643</v>
      </c>
      <c r="G29" s="85"/>
      <c r="I29" s="31">
        <v>41</v>
      </c>
      <c r="J29" s="86" t="s">
        <v>91</v>
      </c>
      <c r="K29" s="34"/>
      <c r="L29" s="422">
        <f>L26+L27</f>
        <v>112.44478494786424</v>
      </c>
      <c r="M29" s="423"/>
      <c r="N29" s="90">
        <f>N25+L27</f>
        <v>594.4447849478643</v>
      </c>
      <c r="O29" s="92"/>
      <c r="Q29" s="107"/>
      <c r="R29" s="150">
        <v>3</v>
      </c>
      <c r="S29" s="426">
        <f>Ceiling_NRT(W29,R29)</f>
        <v>298.20145103071354</v>
      </c>
      <c r="T29" s="427"/>
      <c r="U29" s="94">
        <f>W26-3</f>
        <v>227</v>
      </c>
      <c r="V29" s="91" t="s">
        <v>92</v>
      </c>
      <c r="W29" s="93">
        <f>SUM(W27,-3)</f>
        <v>709</v>
      </c>
    </row>
    <row r="31" spans="3:11" ht="14.25" customHeight="1" hidden="1" thickBot="1">
      <c r="C31" s="62"/>
      <c r="K31" s="62"/>
    </row>
    <row r="32" spans="3:15" ht="13.5" customHeight="1" hidden="1" thickBot="1">
      <c r="C32" s="52" t="s">
        <v>93</v>
      </c>
      <c r="D32" s="83">
        <v>2</v>
      </c>
      <c r="E32" s="51">
        <f>IF((D32=1),ROUND((G22*0.45+210),-1),ROUND((G22*0.52+110),-1))</f>
        <v>410</v>
      </c>
      <c r="F32" s="397" t="s">
        <v>94</v>
      </c>
      <c r="G32" s="398"/>
      <c r="J32" t="s">
        <v>109</v>
      </c>
      <c r="K32" s="52" t="s">
        <v>93</v>
      </c>
      <c r="L32" s="83">
        <v>2</v>
      </c>
      <c r="M32" s="51">
        <f>IF((L32=1),ROUND((O22*0.45+210),-1),ROUND((O22*0.52+110),-1))</f>
        <v>110</v>
      </c>
      <c r="N32" s="75" t="s">
        <v>94</v>
      </c>
      <c r="O32" s="75"/>
    </row>
    <row r="33" spans="3:12" ht="13.5" hidden="1" thickBot="1">
      <c r="C33" s="53" t="s">
        <v>95</v>
      </c>
      <c r="D33" s="84"/>
      <c r="K33" s="53" t="s">
        <v>95</v>
      </c>
      <c r="L33" s="84"/>
    </row>
    <row r="34" ht="12.75" hidden="1">
      <c r="C34" s="143"/>
    </row>
    <row r="35" ht="12.75" hidden="1">
      <c r="F35">
        <f>((HOUR(E10)+(MINUTE(E10)-20)/60))</f>
        <v>1.0666666666666667</v>
      </c>
    </row>
    <row r="36" spans="2:19" ht="12.75" hidden="1">
      <c r="B36" t="s">
        <v>146</v>
      </c>
      <c r="C36" s="209">
        <f>Endurance(D3,B5)</f>
        <v>9.59591514118619</v>
      </c>
      <c r="J36" t="s">
        <v>146</v>
      </c>
      <c r="K36" s="209">
        <f>Endurance(M3,L5)+0.333</f>
        <v>4.9638642097932095</v>
      </c>
      <c r="R36" t="s">
        <v>146</v>
      </c>
      <c r="S36" s="209">
        <f>Endurance(U3,T5)+0.333</f>
        <v>4.9638642097932095</v>
      </c>
    </row>
    <row r="37" ht="12.75" hidden="1"/>
    <row r="38" spans="2:20" ht="12.75" hidden="1">
      <c r="B38" t="s">
        <v>99</v>
      </c>
      <c r="C38" s="143" t="s">
        <v>98</v>
      </c>
      <c r="D38">
        <v>1</v>
      </c>
      <c r="E38">
        <f>IF(D38=1,TIME(0,45,0),TIME(1,15,0))</f>
        <v>0.03125</v>
      </c>
      <c r="J38" t="s">
        <v>99</v>
      </c>
      <c r="K38">
        <v>1</v>
      </c>
      <c r="L38">
        <f>IF(K38=1,TIME(0,45,0),TIME(1,15,0))</f>
        <v>0.03125</v>
      </c>
      <c r="R38" t="s">
        <v>99</v>
      </c>
      <c r="S38">
        <v>1</v>
      </c>
      <c r="T38">
        <f>IF(S38=1,TIME(0,45,0),TIME(1,15,0))</f>
        <v>0.03125</v>
      </c>
    </row>
    <row r="39" spans="3:19" ht="12.75" hidden="1">
      <c r="C39" s="143" t="s">
        <v>96</v>
      </c>
      <c r="K39" s="143"/>
      <c r="S39" s="143"/>
    </row>
    <row r="40" spans="2:19" ht="12.75" hidden="1">
      <c r="B40" t="s">
        <v>21</v>
      </c>
      <c r="C40" t="s">
        <v>101</v>
      </c>
      <c r="D40">
        <v>51</v>
      </c>
      <c r="E40">
        <v>6</v>
      </c>
      <c r="J40" t="s">
        <v>21</v>
      </c>
      <c r="K40">
        <v>6</v>
      </c>
      <c r="R40" t="s">
        <v>21</v>
      </c>
      <c r="S40">
        <v>7</v>
      </c>
    </row>
    <row r="41" spans="3:19" ht="12.75" hidden="1">
      <c r="C41" t="s">
        <v>102</v>
      </c>
      <c r="D41">
        <v>54</v>
      </c>
      <c r="E41" s="144">
        <f>INDEX(D40:D48,E40)</f>
        <v>45</v>
      </c>
      <c r="K41" s="144">
        <f>INDEX(D40:D48,K40)</f>
        <v>45</v>
      </c>
      <c r="S41" s="144">
        <f>INDEX(D40:D48,S40)</f>
        <v>46</v>
      </c>
    </row>
    <row r="42" spans="3:4" ht="12.75" hidden="1">
      <c r="C42" t="s">
        <v>103</v>
      </c>
      <c r="D42">
        <v>55</v>
      </c>
    </row>
    <row r="43" spans="3:4" ht="12.75" hidden="1">
      <c r="C43" t="s">
        <v>104</v>
      </c>
      <c r="D43">
        <v>57</v>
      </c>
    </row>
    <row r="44" spans="3:4" ht="12.75" hidden="1">
      <c r="C44" t="s">
        <v>147</v>
      </c>
      <c r="D44">
        <v>59</v>
      </c>
    </row>
    <row r="45" spans="3:4" ht="12.75" hidden="1">
      <c r="C45" t="s">
        <v>105</v>
      </c>
      <c r="D45">
        <v>45</v>
      </c>
    </row>
    <row r="46" spans="3:4" ht="13.5" customHeight="1" hidden="1">
      <c r="C46" t="s">
        <v>106</v>
      </c>
      <c r="D46">
        <v>46</v>
      </c>
    </row>
    <row r="47" spans="3:4" ht="12.75" hidden="1">
      <c r="C47" t="s">
        <v>107</v>
      </c>
      <c r="D47">
        <v>47</v>
      </c>
    </row>
    <row r="48" spans="3:4" ht="12.75" hidden="1">
      <c r="C48" t="s">
        <v>108</v>
      </c>
      <c r="D48">
        <v>48</v>
      </c>
    </row>
    <row r="53" spans="11:19" ht="12.75">
      <c r="K53" s="194"/>
      <c r="S53" s="194"/>
    </row>
    <row r="54" spans="11:19" ht="12.75">
      <c r="K54" s="194"/>
      <c r="S54" s="194"/>
    </row>
    <row r="55" spans="11:19" ht="12.75">
      <c r="K55" s="194"/>
      <c r="S55" s="194"/>
    </row>
    <row r="56" spans="3:19" ht="12.75">
      <c r="C56" s="226"/>
      <c r="K56" s="194"/>
      <c r="S56" s="144"/>
    </row>
    <row r="57" spans="11:19" ht="12.75">
      <c r="K57" s="225"/>
      <c r="S57" s="194"/>
    </row>
    <row r="58" spans="3:19" ht="12.75">
      <c r="C58" s="226"/>
      <c r="K58" s="225"/>
      <c r="S58" s="225"/>
    </row>
    <row r="59" spans="3:19" ht="12.75">
      <c r="C59" s="226"/>
      <c r="K59" s="225"/>
      <c r="S59" s="225"/>
    </row>
    <row r="60" spans="3:11" ht="12.75">
      <c r="C60" s="226"/>
      <c r="K60" s="225"/>
    </row>
    <row r="61" spans="3:11" ht="12.75">
      <c r="C61" s="225"/>
      <c r="K61" s="225"/>
    </row>
    <row r="62" spans="3:11" ht="12.75">
      <c r="C62" s="225"/>
      <c r="K62" s="225"/>
    </row>
    <row r="63" ht="12.75">
      <c r="C63" s="225"/>
    </row>
    <row r="64" ht="12.75">
      <c r="C64" s="225"/>
    </row>
    <row r="65" ht="12.75">
      <c r="C65" s="144"/>
    </row>
    <row r="66" ht="12.75">
      <c r="C66" s="225"/>
    </row>
  </sheetData>
  <mergeCells count="26">
    <mergeCell ref="L29:M29"/>
    <mergeCell ref="D24:E24"/>
    <mergeCell ref="R11:S11"/>
    <mergeCell ref="S29:T29"/>
    <mergeCell ref="L26:M26"/>
    <mergeCell ref="N24:O24"/>
    <mergeCell ref="N25:O25"/>
    <mergeCell ref="D29:E29"/>
    <mergeCell ref="D26:E26"/>
    <mergeCell ref="D27:E27"/>
    <mergeCell ref="E5:G5"/>
    <mergeCell ref="B5:D5"/>
    <mergeCell ref="L24:M24"/>
    <mergeCell ref="L25:M25"/>
    <mergeCell ref="F25:G25"/>
    <mergeCell ref="D25:E25"/>
    <mergeCell ref="F32:G32"/>
    <mergeCell ref="L27:M27"/>
    <mergeCell ref="B2:C2"/>
    <mergeCell ref="D2:E2"/>
    <mergeCell ref="F2:G2"/>
    <mergeCell ref="B4:D4"/>
    <mergeCell ref="E4:G4"/>
    <mergeCell ref="B3:C3"/>
    <mergeCell ref="D3:E3"/>
    <mergeCell ref="F3:G3"/>
  </mergeCells>
  <printOptions horizontalCentered="1" verticalCentered="1"/>
  <pageMargins left="0.25" right="0.25" top="0.1" bottom="0.1" header="0" footer="0"/>
  <pageSetup fitToHeight="1" fitToWidth="1" horizontalDpi="360" verticalDpi="360" orientation="landscape" pageOrder="overThenDown" scale="73" r:id="rId3"/>
  <headerFooter alignWithMargins="0">
    <oddHeader>&amp;CAir Refueling</oddHeader>
    <oddFooter>&amp;CAMC Form 160
</oddFooter>
  </headerFooter>
  <legacyDrawing r:id="rId2"/>
</worksheet>
</file>

<file path=xl/worksheets/sheet3.xml><?xml version="1.0" encoding="utf-8"?>
<worksheet xmlns="http://schemas.openxmlformats.org/spreadsheetml/2006/main" xmlns:r="http://schemas.openxmlformats.org/officeDocument/2006/relationships">
  <sheetPr codeName="Sheet1"/>
  <dimension ref="A1:F6"/>
  <sheetViews>
    <sheetView workbookViewId="0" topLeftCell="A1">
      <selection activeCell="E9" sqref="E9"/>
    </sheetView>
  </sheetViews>
  <sheetFormatPr defaultColWidth="9.140625" defaultRowHeight="12.75"/>
  <sheetData>
    <row r="1" spans="1:6" ht="12.75">
      <c r="A1" s="430" t="s">
        <v>178</v>
      </c>
      <c r="B1" s="430"/>
      <c r="C1" s="430"/>
      <c r="D1" s="430"/>
      <c r="E1" s="430"/>
      <c r="F1" s="430"/>
    </row>
    <row r="2" spans="1:6" ht="12.75">
      <c r="A2" s="434" t="s">
        <v>173</v>
      </c>
      <c r="B2" s="434" t="s">
        <v>179</v>
      </c>
      <c r="C2" s="432" t="s">
        <v>184</v>
      </c>
      <c r="D2" s="432"/>
      <c r="E2" s="432"/>
      <c r="F2" s="432"/>
    </row>
    <row r="3" spans="1:6" ht="12.75">
      <c r="A3" s="435"/>
      <c r="B3" s="435"/>
      <c r="C3" s="337" t="s">
        <v>180</v>
      </c>
      <c r="D3" s="335" t="s">
        <v>181</v>
      </c>
      <c r="E3" s="335" t="s">
        <v>182</v>
      </c>
      <c r="F3" s="335" t="s">
        <v>183</v>
      </c>
    </row>
    <row r="4" spans="1:6" ht="12.75">
      <c r="A4" s="433">
        <v>840</v>
      </c>
      <c r="B4" s="433">
        <v>41</v>
      </c>
      <c r="C4" s="336">
        <f>APN_Rigid($A$4,1,$B$4)</f>
        <v>33.52169460000004</v>
      </c>
      <c r="D4" s="336">
        <f>APN_Rigid($A$4,2,$B$4)</f>
        <v>40.279901600000024</v>
      </c>
      <c r="E4" s="336">
        <f>APN_Rigid($A$4,3,$B$4)</f>
        <v>53.40516020000001</v>
      </c>
      <c r="F4" s="336">
        <f>APN_Rigid($A$4,4,$B$4)</f>
        <v>62.518821050000014</v>
      </c>
    </row>
    <row r="5" spans="1:6" ht="12.75">
      <c r="A5" s="433"/>
      <c r="B5" s="433"/>
      <c r="C5" s="431" t="s">
        <v>185</v>
      </c>
      <c r="D5" s="431"/>
      <c r="E5" s="431"/>
      <c r="F5" s="431"/>
    </row>
    <row r="6" spans="1:6" ht="12.75">
      <c r="A6" s="433"/>
      <c r="B6" s="433"/>
      <c r="C6" s="303">
        <f>APN_Flexible($A$4,1,$B$4)</f>
        <v>40.353587099999984</v>
      </c>
      <c r="D6" s="303">
        <f>APN_Flexible($A$4,2,$B$4)</f>
        <v>42.8442376</v>
      </c>
      <c r="E6" s="303">
        <f>APN_Flexible($A$4,3,$B$4)</f>
        <v>56.99304633599999</v>
      </c>
      <c r="F6" s="303">
        <f>APN_Flexible($A$4,4,$B$4)</f>
        <v>74.69582108400002</v>
      </c>
    </row>
  </sheetData>
  <mergeCells count="7">
    <mergeCell ref="A1:F1"/>
    <mergeCell ref="C5:F5"/>
    <mergeCell ref="C2:F2"/>
    <mergeCell ref="A4:A6"/>
    <mergeCell ref="B4:B6"/>
    <mergeCell ref="A2:A3"/>
    <mergeCell ref="B2:B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S.T.O.C.S.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Vasilas</dc:creator>
  <cp:keywords/>
  <dc:description/>
  <cp:lastModifiedBy>Cristos Vasilas</cp:lastModifiedBy>
  <cp:lastPrinted>2003-02-13T22:55:39Z</cp:lastPrinted>
  <dcterms:created xsi:type="dcterms:W3CDTF">1996-05-03T05:41:32Z</dcterms:created>
  <dcterms:modified xsi:type="dcterms:W3CDTF">2003-10-08T17:58:42Z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1342709108</vt:i4>
  </property>
  <property fmtid="{D5CDD505-2E9C-101B-9397-08002B2CF9AE}" pid="4" name="_EmailSubje">
    <vt:lpwstr>ARplanin V2.5.xls</vt:lpwstr>
  </property>
  <property fmtid="{D5CDD505-2E9C-101B-9397-08002B2CF9AE}" pid="5" name="_AuthorEma">
    <vt:lpwstr>Cristos.Vasilas2@dover.af.mil</vt:lpwstr>
  </property>
  <property fmtid="{D5CDD505-2E9C-101B-9397-08002B2CF9AE}" pid="6" name="_AuthorEmailDisplayNa">
    <vt:lpwstr>Vasilas Cristos Maj 3 AS/DOIP</vt:lpwstr>
  </property>
</Properties>
</file>